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theme/theme1.xml" ContentType="application/vnd.openxmlformats-officedocument.theme+xml"/>
  <Override PartName="/xl/worksheets/sheet1.xml" ContentType="application/vnd.openxmlformats-officedocument.spreadsheetml.worksheet+xml"/>
  <Override PartName="/xl/drawings/drawing2.xml" ContentType="application/vnd.openxmlformats-officedocument.drawing+xml"/>
  <Override PartName="/xl/charts/chart8.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7.xml" ContentType="application/vnd.openxmlformats-officedocument.drawingml.chart+xml"/>
  <Override PartName="/xl/charts/chart4.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5.xml" ContentType="application/vnd.openxmlformats-officedocument.drawingml.chart+xml"/>
  <Override PartName="/xl/charts/chart3.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005" windowWidth="24825" windowHeight="10950"/>
  </bookViews>
  <sheets>
    <sheet name="Model" sheetId="1" r:id="rId1"/>
    <sheet name="qRef-evaluation" sheetId="4" r:id="rId2"/>
    <sheet name="Compressor" sheetId="2" r:id="rId3"/>
  </sheets>
  <definedNames>
    <definedName name="Ac_FF">'qRef-evaluation'!$D$4</definedName>
    <definedName name="Ac_FR">'qRef-evaluation'!$E$4</definedName>
    <definedName name="bAutoDef">Model!$C$94</definedName>
    <definedName name="bBuiltIn">Model!$C$95</definedName>
    <definedName name="Bc_Actual">'qRef-evaluation'!$G$3</definedName>
    <definedName name="Bc_FF">'qRef-evaluation'!$D$3</definedName>
    <definedName name="BC_FR">'qRef-evaluation'!$E$3</definedName>
    <definedName name="CC">'qRef-evaluation'!$G$12</definedName>
    <definedName name="Cc_Constant">Model!$C$100</definedName>
    <definedName name="Cc_Mult_rc">Model!$C$101</definedName>
    <definedName name="Ch">'qRef-evaluation'!$G$13</definedName>
    <definedName name="COP_c1">Compressor!$E$4</definedName>
    <definedName name="COP_c10">Compressor!$E$13</definedName>
    <definedName name="COP_c2">Compressor!$E$5</definedName>
    <definedName name="COP_c3">Compressor!$E$6</definedName>
    <definedName name="COP_c4">Compressor!$E$7</definedName>
    <definedName name="COP_c5">Compressor!$E$8</definedName>
    <definedName name="COP_c6">Compressor!$E$9</definedName>
    <definedName name="COP_c7">Compressor!$E$10</definedName>
    <definedName name="COP_c8">Compressor!$E$11</definedName>
    <definedName name="COP_c9">Compressor!$E$12</definedName>
    <definedName name="Door">'qRef-evaluation'!$D$5</definedName>
    <definedName name="ElCosts">#REF!</definedName>
    <definedName name="FF_Actual">'qRef-evaluation'!$G$4</definedName>
    <definedName name="Lifetime">#REF!</definedName>
    <definedName name="Mc_FF">'qRef-evaluation'!$D$8</definedName>
    <definedName name="Mc_FR">'qRef-evaluation'!$E$8</definedName>
    <definedName name="MFresh">Model!$C$96</definedName>
    <definedName name="MFrozen">Model!$C$98</definedName>
    <definedName name="Nc_FF">'qRef-evaluation'!$D$7</definedName>
    <definedName name="Nc_FR">'qRef-evaluation'!$E$7</definedName>
    <definedName name="NFresh">Model!$C$97</definedName>
    <definedName name="NFrozen">Model!$C$99</definedName>
    <definedName name="Pc_c1">Compressor!$F$4</definedName>
    <definedName name="Pc_c10">Compressor!$F$13</definedName>
    <definedName name="Pc_c2">Compressor!$F$5</definedName>
    <definedName name="Pc_c3">Compressor!$F$6</definedName>
    <definedName name="Pc_c4">Compressor!$F$7</definedName>
    <definedName name="Pc_c5">Compressor!$F$8</definedName>
    <definedName name="Pc_c6">Compressor!$F$9</definedName>
    <definedName name="Pc_c7">Compressor!$F$10</definedName>
    <definedName name="Pc_c8">Compressor!$F$11</definedName>
    <definedName name="Pc_c9">Compressor!$F$12</definedName>
    <definedName name="rc_FF">'qRef-evaluation'!$D$11</definedName>
    <definedName name="rc_FR">'qRef-evaluation'!$E$11</definedName>
    <definedName name="req">Model!$AM$1</definedName>
    <definedName name="rtWall">Model!$AQ$1</definedName>
    <definedName name="rVFresh">Model!$AI$1</definedName>
    <definedName name="solver_adj" localSheetId="0" hidden="1">Model!$AQ$1</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Model!$AP$37</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 name="Tc">Compressor!$C$16</definedName>
    <definedName name="Te">Compressor!$C$15</definedName>
    <definedName name="TotVol">'qRef-evaluation'!$AP$15</definedName>
  </definedNames>
  <calcPr calcId="145621" iterate="1" iterateDelta="1E-4"/>
</workbook>
</file>

<file path=xl/calcChain.xml><?xml version="1.0" encoding="utf-8"?>
<calcChain xmlns="http://schemas.openxmlformats.org/spreadsheetml/2006/main">
  <c r="C9" i="4" l="1"/>
  <c r="BA104" i="1"/>
  <c r="BB104" i="1"/>
  <c r="BC104" i="1"/>
  <c r="AZ104" i="1"/>
  <c r="BA24" i="1"/>
  <c r="BB24" i="1"/>
  <c r="BC24" i="1"/>
  <c r="AZ24" i="1"/>
  <c r="BA1" i="1"/>
  <c r="BA54" i="1" s="1"/>
  <c r="BA107" i="1"/>
  <c r="AZ106" i="1"/>
  <c r="BC105" i="1"/>
  <c r="BB105" i="1"/>
  <c r="BA105" i="1"/>
  <c r="AZ105" i="1"/>
  <c r="BA64" i="1"/>
  <c r="BB64" i="1" s="1"/>
  <c r="BC64" i="1" s="1"/>
  <c r="BA63" i="1"/>
  <c r="BB63" i="1" s="1"/>
  <c r="BC63" i="1" s="1"/>
  <c r="BC52" i="1"/>
  <c r="BB52" i="1"/>
  <c r="BA52" i="1"/>
  <c r="AZ52" i="1"/>
  <c r="BC48" i="1"/>
  <c r="BC49" i="1" s="1"/>
  <c r="BB48" i="1"/>
  <c r="BB49" i="1" s="1"/>
  <c r="BA48" i="1"/>
  <c r="BA49" i="1" s="1"/>
  <c r="AZ48" i="1"/>
  <c r="AZ49" i="1" s="1"/>
  <c r="BC44" i="1"/>
  <c r="BC45" i="1" s="1"/>
  <c r="BB44" i="1"/>
  <c r="BB45" i="1" s="1"/>
  <c r="BA44" i="1"/>
  <c r="BA45" i="1" s="1"/>
  <c r="AZ44" i="1"/>
  <c r="AZ45" i="1" s="1"/>
  <c r="BC41" i="1"/>
  <c r="BB41" i="1"/>
  <c r="BA41" i="1"/>
  <c r="AZ41" i="1"/>
  <c r="BC31" i="1"/>
  <c r="BB31" i="1"/>
  <c r="BA31" i="1"/>
  <c r="AZ31" i="1"/>
  <c r="BC27" i="1"/>
  <c r="BB27" i="1"/>
  <c r="BA27" i="1"/>
  <c r="BB23" i="1"/>
  <c r="BA23" i="1"/>
  <c r="AZ23" i="1"/>
  <c r="BC15" i="1"/>
  <c r="BB15" i="1"/>
  <c r="BA15" i="1"/>
  <c r="AZ15" i="1"/>
  <c r="BC14" i="1"/>
  <c r="BB14" i="1"/>
  <c r="BA14" i="1"/>
  <c r="AZ14" i="1"/>
  <c r="BC13" i="1"/>
  <c r="BB13" i="1"/>
  <c r="BA13" i="1"/>
  <c r="AZ13" i="1"/>
  <c r="BC12" i="1"/>
  <c r="BB12" i="1"/>
  <c r="BA12" i="1"/>
  <c r="AZ12" i="1"/>
  <c r="BC11" i="1"/>
  <c r="BC107" i="1" s="1"/>
  <c r="BB11" i="1"/>
  <c r="BB107" i="1" s="1"/>
  <c r="BA11" i="1"/>
  <c r="AZ11" i="1"/>
  <c r="AZ107" i="1" s="1"/>
  <c r="BB8" i="1"/>
  <c r="BB10" i="1" s="1"/>
  <c r="BA8" i="1"/>
  <c r="BA10" i="1" s="1"/>
  <c r="AZ8" i="1"/>
  <c r="AZ10" i="1" s="1"/>
  <c r="BC7" i="1"/>
  <c r="BC9" i="1" s="1"/>
  <c r="BB7" i="1"/>
  <c r="BB9" i="1" s="1"/>
  <c r="BA7" i="1"/>
  <c r="BA9" i="1" s="1"/>
  <c r="AZ7" i="1"/>
  <c r="AZ9" i="1" s="1"/>
  <c r="BB6" i="1"/>
  <c r="BA6" i="1"/>
  <c r="AZ6" i="1"/>
  <c r="BC5" i="1"/>
  <c r="BC23" i="1" s="1"/>
  <c r="BB5" i="1"/>
  <c r="BA5" i="1"/>
  <c r="AZ5" i="1"/>
  <c r="AM1" i="1"/>
  <c r="AO27" i="1"/>
  <c r="AN27" i="1"/>
  <c r="AM27" i="1"/>
  <c r="AZ54" i="1" l="1"/>
  <c r="AZ59" i="1" s="1"/>
  <c r="BC54" i="1"/>
  <c r="BB54" i="1"/>
  <c r="BB59" i="1" s="1"/>
  <c r="AZ25" i="1"/>
  <c r="AZ32" i="1" s="1"/>
  <c r="BB25" i="1"/>
  <c r="BB32" i="1" s="1"/>
  <c r="BA59" i="1"/>
  <c r="BA57" i="1"/>
  <c r="AZ108" i="1"/>
  <c r="BA106" i="1"/>
  <c r="BA108" i="1" s="1"/>
  <c r="BC6" i="1"/>
  <c r="BC8" i="1"/>
  <c r="BC10" i="1" s="1"/>
  <c r="BC25" i="1"/>
  <c r="BC32" i="1" s="1"/>
  <c r="BB106" i="1"/>
  <c r="BB108" i="1" s="1"/>
  <c r="BA25" i="1"/>
  <c r="BA32" i="1" s="1"/>
  <c r="AM9" i="1"/>
  <c r="AM24" i="1"/>
  <c r="AN24" i="1"/>
  <c r="AO24" i="1"/>
  <c r="AL24" i="1"/>
  <c r="AM7" i="1"/>
  <c r="AM8" i="1" s="1"/>
  <c r="AN7" i="1"/>
  <c r="AN9" i="1" s="1"/>
  <c r="AO7" i="1"/>
  <c r="AO9" i="1" s="1"/>
  <c r="AM12" i="1"/>
  <c r="AN12" i="1"/>
  <c r="AO12" i="1"/>
  <c r="AM13" i="1"/>
  <c r="AN13" i="1"/>
  <c r="AO13" i="1"/>
  <c r="AL13" i="1"/>
  <c r="AL12" i="1"/>
  <c r="AM11" i="1"/>
  <c r="AL7" i="1"/>
  <c r="AL9" i="1" s="1"/>
  <c r="AL5" i="1"/>
  <c r="AZ57" i="1" l="1"/>
  <c r="BB57" i="1"/>
  <c r="AN8" i="1"/>
  <c r="AO8" i="1"/>
  <c r="BC26" i="1"/>
  <c r="BC34" i="1" s="1"/>
  <c r="BC35" i="1" s="1"/>
  <c r="BA26" i="1"/>
  <c r="BA34" i="1" s="1"/>
  <c r="BA35" i="1" s="1"/>
  <c r="BB109" i="1"/>
  <c r="BB110" i="1" s="1"/>
  <c r="BB26" i="1"/>
  <c r="BB34" i="1" s="1"/>
  <c r="BB35" i="1" s="1"/>
  <c r="BC106" i="1"/>
  <c r="BC108" i="1" s="1"/>
  <c r="BA109" i="1"/>
  <c r="BA110" i="1" s="1"/>
  <c r="AZ26" i="1"/>
  <c r="AZ34" i="1" s="1"/>
  <c r="AZ35" i="1" s="1"/>
  <c r="AZ109" i="1"/>
  <c r="AZ110" i="1" s="1"/>
  <c r="AL8" i="1"/>
  <c r="AL10" i="1" s="1"/>
  <c r="AM25" i="1"/>
  <c r="AM32" i="1" s="1"/>
  <c r="BB37" i="1" l="1"/>
  <c r="BB47" i="1"/>
  <c r="BB50" i="1" s="1"/>
  <c r="BB66" i="1" s="1"/>
  <c r="BB36" i="1"/>
  <c r="BB46" i="1"/>
  <c r="BA46" i="1"/>
  <c r="BA37" i="1"/>
  <c r="BA47" i="1"/>
  <c r="BA50" i="1" s="1"/>
  <c r="BA66" i="1" s="1"/>
  <c r="BA36" i="1"/>
  <c r="AZ46" i="1"/>
  <c r="AZ37" i="1"/>
  <c r="AZ47" i="1"/>
  <c r="AZ50" i="1" s="1"/>
  <c r="AZ66" i="1" s="1"/>
  <c r="AZ36" i="1"/>
  <c r="BC109" i="1"/>
  <c r="BC110" i="1" s="1"/>
  <c r="BC47" i="1"/>
  <c r="BC50" i="1" s="1"/>
  <c r="BC66" i="1" s="1"/>
  <c r="BC36" i="1"/>
  <c r="BC46" i="1"/>
  <c r="BC37" i="1"/>
  <c r="BC59" i="1"/>
  <c r="BC57" i="1"/>
  <c r="BU20" i="4"/>
  <c r="BU21" i="4"/>
  <c r="BU22" i="4"/>
  <c r="BU23" i="4"/>
  <c r="BU24" i="4"/>
  <c r="BU25" i="4"/>
  <c r="BU26" i="4"/>
  <c r="BU27" i="4"/>
  <c r="BU28" i="4"/>
  <c r="BU29" i="4"/>
  <c r="BU30" i="4"/>
  <c r="BU31" i="4"/>
  <c r="BU32" i="4"/>
  <c r="BU33" i="4"/>
  <c r="BU19" i="4"/>
  <c r="BJ19" i="4"/>
  <c r="BK19" i="4"/>
  <c r="BL19" i="4"/>
  <c r="BM19" i="4"/>
  <c r="BN19" i="4"/>
  <c r="BO19" i="4"/>
  <c r="BP19" i="4"/>
  <c r="BQ19" i="4"/>
  <c r="BJ20" i="4"/>
  <c r="BK20" i="4"/>
  <c r="BL20" i="4"/>
  <c r="BM20" i="4"/>
  <c r="BN20" i="4"/>
  <c r="BO20" i="4"/>
  <c r="BP20" i="4"/>
  <c r="BQ20" i="4"/>
  <c r="BJ21" i="4"/>
  <c r="BK21" i="4"/>
  <c r="BL21" i="4"/>
  <c r="BM21" i="4"/>
  <c r="BN21" i="4"/>
  <c r="BO21" i="4"/>
  <c r="BP21" i="4"/>
  <c r="BQ21" i="4"/>
  <c r="BJ22" i="4"/>
  <c r="BK22" i="4"/>
  <c r="BL22" i="4"/>
  <c r="BM22" i="4"/>
  <c r="BN22" i="4"/>
  <c r="BO22" i="4"/>
  <c r="BP22" i="4"/>
  <c r="BQ22" i="4"/>
  <c r="BJ23" i="4"/>
  <c r="BK23" i="4"/>
  <c r="BL23" i="4"/>
  <c r="BM23" i="4"/>
  <c r="BN23" i="4"/>
  <c r="BO23" i="4"/>
  <c r="BP23" i="4"/>
  <c r="BQ23" i="4"/>
  <c r="BJ24" i="4"/>
  <c r="BK24" i="4"/>
  <c r="BL24" i="4"/>
  <c r="BM24" i="4"/>
  <c r="BN24" i="4"/>
  <c r="BO24" i="4"/>
  <c r="BP24" i="4"/>
  <c r="BQ24" i="4"/>
  <c r="BJ25" i="4"/>
  <c r="BK25" i="4"/>
  <c r="BL25" i="4"/>
  <c r="BM25" i="4"/>
  <c r="BN25" i="4"/>
  <c r="BO25" i="4"/>
  <c r="BP25" i="4"/>
  <c r="BQ25" i="4"/>
  <c r="BJ26" i="4"/>
  <c r="BK26" i="4"/>
  <c r="BL26" i="4"/>
  <c r="BM26" i="4"/>
  <c r="BN26" i="4"/>
  <c r="BO26" i="4"/>
  <c r="BP26" i="4"/>
  <c r="BQ26" i="4"/>
  <c r="BJ27" i="4"/>
  <c r="BK27" i="4"/>
  <c r="BL27" i="4"/>
  <c r="BM27" i="4"/>
  <c r="BN27" i="4"/>
  <c r="BO27" i="4"/>
  <c r="BP27" i="4"/>
  <c r="BQ27" i="4"/>
  <c r="BJ28" i="4"/>
  <c r="BK28" i="4"/>
  <c r="BL28" i="4"/>
  <c r="BM28" i="4"/>
  <c r="BN28" i="4"/>
  <c r="BO28" i="4"/>
  <c r="BP28" i="4"/>
  <c r="BQ28" i="4"/>
  <c r="BJ29" i="4"/>
  <c r="BK29" i="4"/>
  <c r="BL29" i="4"/>
  <c r="BM29" i="4"/>
  <c r="BN29" i="4"/>
  <c r="BO29" i="4"/>
  <c r="BP29" i="4"/>
  <c r="BQ29" i="4"/>
  <c r="BJ30" i="4"/>
  <c r="BK30" i="4"/>
  <c r="BL30" i="4"/>
  <c r="BM30" i="4"/>
  <c r="BN30" i="4"/>
  <c r="BO30" i="4"/>
  <c r="BP30" i="4"/>
  <c r="BQ30" i="4"/>
  <c r="BJ31" i="4"/>
  <c r="BK31" i="4"/>
  <c r="BL31" i="4"/>
  <c r="BM31" i="4"/>
  <c r="BN31" i="4"/>
  <c r="BO31" i="4"/>
  <c r="BP31" i="4"/>
  <c r="BQ31" i="4"/>
  <c r="BJ32" i="4"/>
  <c r="BK32" i="4"/>
  <c r="BL32" i="4"/>
  <c r="BM32" i="4"/>
  <c r="BN32" i="4"/>
  <c r="BO32" i="4"/>
  <c r="BP32" i="4"/>
  <c r="BQ32" i="4"/>
  <c r="BJ33" i="4"/>
  <c r="BK33" i="4"/>
  <c r="BL33" i="4"/>
  <c r="BM33" i="4"/>
  <c r="BN33" i="4"/>
  <c r="BO33" i="4"/>
  <c r="BP33" i="4"/>
  <c r="BQ33" i="4"/>
  <c r="BI20" i="4"/>
  <c r="BI21" i="4"/>
  <c r="BI22" i="4"/>
  <c r="BI23" i="4"/>
  <c r="BI24" i="4"/>
  <c r="BI25" i="4"/>
  <c r="BI26" i="4"/>
  <c r="BI27" i="4"/>
  <c r="BI28" i="4"/>
  <c r="BI29" i="4"/>
  <c r="BI30" i="4"/>
  <c r="BI31" i="4"/>
  <c r="BI32" i="4"/>
  <c r="BI33" i="4"/>
  <c r="BI19" i="4"/>
  <c r="AZ19" i="4"/>
  <c r="BA19" i="4"/>
  <c r="BB19" i="4"/>
  <c r="BC19" i="4"/>
  <c r="BD19" i="4"/>
  <c r="BE19" i="4"/>
  <c r="BF19" i="4"/>
  <c r="BG19" i="4"/>
  <c r="AZ20" i="4"/>
  <c r="BA20" i="4"/>
  <c r="BB20" i="4"/>
  <c r="BC20" i="4"/>
  <c r="BD20" i="4"/>
  <c r="BE20" i="4"/>
  <c r="BF20" i="4"/>
  <c r="BG20" i="4"/>
  <c r="AZ21" i="4"/>
  <c r="BA21" i="4"/>
  <c r="BB21" i="4"/>
  <c r="BC21" i="4"/>
  <c r="BD21" i="4"/>
  <c r="BE21" i="4"/>
  <c r="BF21" i="4"/>
  <c r="BG21" i="4"/>
  <c r="AZ22" i="4"/>
  <c r="BA22" i="4"/>
  <c r="BB22" i="4"/>
  <c r="BC22" i="4"/>
  <c r="BD22" i="4"/>
  <c r="BE22" i="4"/>
  <c r="BF22" i="4"/>
  <c r="BG22" i="4"/>
  <c r="AZ23" i="4"/>
  <c r="BA23" i="4"/>
  <c r="BB23" i="4"/>
  <c r="BC23" i="4"/>
  <c r="BD23" i="4"/>
  <c r="BE23" i="4"/>
  <c r="BF23" i="4"/>
  <c r="BG23" i="4"/>
  <c r="AZ24" i="4"/>
  <c r="BA24" i="4"/>
  <c r="BB24" i="4"/>
  <c r="BC24" i="4"/>
  <c r="BD24" i="4"/>
  <c r="BE24" i="4"/>
  <c r="BF24" i="4"/>
  <c r="BG24" i="4"/>
  <c r="AZ25" i="4"/>
  <c r="BA25" i="4"/>
  <c r="BB25" i="4"/>
  <c r="BC25" i="4"/>
  <c r="BD25" i="4"/>
  <c r="BE25" i="4"/>
  <c r="BF25" i="4"/>
  <c r="BG25" i="4"/>
  <c r="AZ26" i="4"/>
  <c r="BA26" i="4"/>
  <c r="BB26" i="4"/>
  <c r="BC26" i="4"/>
  <c r="BD26" i="4"/>
  <c r="BE26" i="4"/>
  <c r="BF26" i="4"/>
  <c r="BG26" i="4"/>
  <c r="AZ27" i="4"/>
  <c r="BA27" i="4"/>
  <c r="BB27" i="4"/>
  <c r="BC27" i="4"/>
  <c r="BD27" i="4"/>
  <c r="BE27" i="4"/>
  <c r="BF27" i="4"/>
  <c r="BG27" i="4"/>
  <c r="AZ28" i="4"/>
  <c r="BA28" i="4"/>
  <c r="BB28" i="4"/>
  <c r="BC28" i="4"/>
  <c r="BD28" i="4"/>
  <c r="BE28" i="4"/>
  <c r="BF28" i="4"/>
  <c r="BG28" i="4"/>
  <c r="AZ29" i="4"/>
  <c r="BA29" i="4"/>
  <c r="BB29" i="4"/>
  <c r="BC29" i="4"/>
  <c r="BD29" i="4"/>
  <c r="BE29" i="4"/>
  <c r="BF29" i="4"/>
  <c r="BG29" i="4"/>
  <c r="AZ30" i="4"/>
  <c r="BA30" i="4"/>
  <c r="BB30" i="4"/>
  <c r="BC30" i="4"/>
  <c r="BD30" i="4"/>
  <c r="BE30" i="4"/>
  <c r="BF30" i="4"/>
  <c r="BG30" i="4"/>
  <c r="AZ31" i="4"/>
  <c r="BA31" i="4"/>
  <c r="BB31" i="4"/>
  <c r="BC31" i="4"/>
  <c r="BD31" i="4"/>
  <c r="BE31" i="4"/>
  <c r="BF31" i="4"/>
  <c r="BG31" i="4"/>
  <c r="AZ32" i="4"/>
  <c r="BA32" i="4"/>
  <c r="BB32" i="4"/>
  <c r="BC32" i="4"/>
  <c r="BD32" i="4"/>
  <c r="BE32" i="4"/>
  <c r="BF32" i="4"/>
  <c r="BG32" i="4"/>
  <c r="AZ33" i="4"/>
  <c r="BA33" i="4"/>
  <c r="BB33" i="4"/>
  <c r="BC33" i="4"/>
  <c r="BD33" i="4"/>
  <c r="BE33" i="4"/>
  <c r="BF33" i="4"/>
  <c r="BG33" i="4"/>
  <c r="AY20" i="4"/>
  <c r="AY21" i="4"/>
  <c r="AY22" i="4"/>
  <c r="AY23" i="4"/>
  <c r="AY24" i="4"/>
  <c r="AY25" i="4"/>
  <c r="AY26" i="4"/>
  <c r="AY27" i="4"/>
  <c r="AY28" i="4"/>
  <c r="AY29" i="4"/>
  <c r="AY30" i="4"/>
  <c r="AY31" i="4"/>
  <c r="AY32" i="4"/>
  <c r="AY33" i="4"/>
  <c r="AY19" i="4"/>
  <c r="E7" i="4"/>
  <c r="E8" i="4"/>
  <c r="D8" i="4"/>
  <c r="D7" i="4"/>
  <c r="L36" i="4"/>
  <c r="N33" i="4"/>
  <c r="T33" i="4" s="1"/>
  <c r="H33" i="4"/>
  <c r="N32" i="4"/>
  <c r="H32" i="4"/>
  <c r="T31" i="4"/>
  <c r="N31" i="4"/>
  <c r="H31" i="4"/>
  <c r="N30" i="4"/>
  <c r="T30" i="4" s="1"/>
  <c r="H30" i="4"/>
  <c r="N29" i="4"/>
  <c r="T29" i="4" s="1"/>
  <c r="H29" i="4"/>
  <c r="N28" i="4"/>
  <c r="H28" i="4"/>
  <c r="N27" i="4"/>
  <c r="T27" i="4" s="1"/>
  <c r="H27" i="4"/>
  <c r="N26" i="4"/>
  <c r="T26" i="4" s="1"/>
  <c r="H26" i="4"/>
  <c r="N25" i="4"/>
  <c r="T25" i="4" s="1"/>
  <c r="H25" i="4"/>
  <c r="N24" i="4"/>
  <c r="H24" i="4"/>
  <c r="N23" i="4"/>
  <c r="T23" i="4" s="1"/>
  <c r="H23" i="4"/>
  <c r="N22" i="4"/>
  <c r="H22" i="4"/>
  <c r="N21" i="4"/>
  <c r="T21" i="4" s="1"/>
  <c r="H21" i="4"/>
  <c r="N20" i="4"/>
  <c r="T20" i="4" s="1"/>
  <c r="H20" i="4"/>
  <c r="N19" i="4"/>
  <c r="H19" i="4"/>
  <c r="BG18" i="4"/>
  <c r="BQ18" i="4" s="1"/>
  <c r="BF18" i="4"/>
  <c r="BP18" i="4" s="1"/>
  <c r="BE18" i="4"/>
  <c r="BO18" i="4" s="1"/>
  <c r="BD18" i="4"/>
  <c r="BN18" i="4" s="1"/>
  <c r="BC18" i="4"/>
  <c r="BM18" i="4" s="1"/>
  <c r="BB18" i="4"/>
  <c r="BL18" i="4" s="1"/>
  <c r="BA18" i="4"/>
  <c r="BK18" i="4" s="1"/>
  <c r="AZ18" i="4"/>
  <c r="BJ18" i="4" s="1"/>
  <c r="AY18" i="4"/>
  <c r="BI18" i="4" s="1"/>
  <c r="AW18" i="4"/>
  <c r="AV18" i="4"/>
  <c r="AU18" i="4"/>
  <c r="AT18" i="4"/>
  <c r="AS18" i="4"/>
  <c r="AR18" i="4"/>
  <c r="AQ18" i="4"/>
  <c r="AP18" i="4"/>
  <c r="AO18" i="4"/>
  <c r="AM18" i="4"/>
  <c r="AL18" i="4"/>
  <c r="AK18" i="4"/>
  <c r="AJ18" i="4"/>
  <c r="AI18" i="4"/>
  <c r="AH18" i="4"/>
  <c r="AG18" i="4"/>
  <c r="AF18" i="4"/>
  <c r="AE18" i="4"/>
  <c r="AA16" i="4"/>
  <c r="R16" i="4"/>
  <c r="L16" i="4"/>
  <c r="F16" i="4"/>
  <c r="AA15" i="4"/>
  <c r="R15" i="4"/>
  <c r="L15" i="4"/>
  <c r="F15" i="4"/>
  <c r="G13" i="4"/>
  <c r="G12" i="4"/>
  <c r="E11" i="4"/>
  <c r="D11" i="4"/>
  <c r="G4" i="4"/>
  <c r="E4" i="4"/>
  <c r="G3" i="4"/>
  <c r="E3" i="4"/>
  <c r="D3" i="4"/>
  <c r="BE37" i="1" l="1"/>
  <c r="BA53" i="1"/>
  <c r="BC53" i="1"/>
  <c r="AZ53" i="1"/>
  <c r="BB53" i="1"/>
  <c r="C33" i="4"/>
  <c r="D33" i="4" s="1"/>
  <c r="BV22" i="4"/>
  <c r="BW22" i="4" s="1"/>
  <c r="BX21" i="4"/>
  <c r="C19" i="4"/>
  <c r="AV20" i="4"/>
  <c r="AO30" i="4"/>
  <c r="AO22" i="4"/>
  <c r="AR33" i="4"/>
  <c r="AR32" i="4"/>
  <c r="AR31" i="4"/>
  <c r="AR28" i="4"/>
  <c r="AR25" i="4"/>
  <c r="AR22" i="4"/>
  <c r="AR20" i="4"/>
  <c r="AQ28" i="4"/>
  <c r="AQ20" i="4"/>
  <c r="BV21" i="4"/>
  <c r="BW21" i="4" s="1"/>
  <c r="BX28" i="4"/>
  <c r="AP32" i="4"/>
  <c r="AP28" i="4"/>
  <c r="AP24" i="4"/>
  <c r="AP20" i="4"/>
  <c r="BV28" i="4"/>
  <c r="BW28" i="4" s="1"/>
  <c r="BV20" i="4"/>
  <c r="BW20" i="4" s="1"/>
  <c r="BX19" i="4"/>
  <c r="BX27" i="4"/>
  <c r="AO29" i="4"/>
  <c r="AQ31" i="4"/>
  <c r="AQ27" i="4"/>
  <c r="AQ23" i="4"/>
  <c r="AQ19" i="4"/>
  <c r="BV27" i="4"/>
  <c r="BW27" i="4" s="1"/>
  <c r="BX20" i="4"/>
  <c r="BX26" i="4"/>
  <c r="I25" i="4"/>
  <c r="J25" i="4" s="1"/>
  <c r="AO28" i="4"/>
  <c r="AP31" i="4"/>
  <c r="AP27" i="4"/>
  <c r="AP23" i="4"/>
  <c r="AP19" i="4"/>
  <c r="BV19" i="4"/>
  <c r="BW19" i="4" s="1"/>
  <c r="BV26" i="4"/>
  <c r="BW26" i="4" s="1"/>
  <c r="BX33" i="4"/>
  <c r="BX25" i="4"/>
  <c r="AR30" i="4"/>
  <c r="AR27" i="4"/>
  <c r="AR24" i="4"/>
  <c r="AR21" i="4"/>
  <c r="AQ32" i="4"/>
  <c r="AQ24" i="4"/>
  <c r="AO21" i="4"/>
  <c r="AQ22" i="4"/>
  <c r="BV33" i="4"/>
  <c r="BW33" i="4" s="1"/>
  <c r="BX32" i="4"/>
  <c r="I20" i="4"/>
  <c r="J20" i="4" s="1"/>
  <c r="AO33" i="4"/>
  <c r="AO25" i="4"/>
  <c r="AU33" i="4"/>
  <c r="AU32" i="4"/>
  <c r="AU31" i="4"/>
  <c r="AU30" i="4"/>
  <c r="AU29" i="4"/>
  <c r="AU28" i="4"/>
  <c r="AU27" i="4"/>
  <c r="AU26" i="4"/>
  <c r="AU25" i="4"/>
  <c r="AU24" i="4"/>
  <c r="AU23" i="4"/>
  <c r="AU22" i="4"/>
  <c r="AU21" i="4"/>
  <c r="AU20" i="4"/>
  <c r="AU19" i="4"/>
  <c r="AO20" i="4"/>
  <c r="AP30" i="4"/>
  <c r="AP26" i="4"/>
  <c r="AP22" i="4"/>
  <c r="BV32" i="4"/>
  <c r="BW32" i="4" s="1"/>
  <c r="BV24" i="4"/>
  <c r="BW24" i="4" s="1"/>
  <c r="BX31" i="4"/>
  <c r="BX23" i="4"/>
  <c r="AR29" i="4"/>
  <c r="AR26" i="4"/>
  <c r="AR23" i="4"/>
  <c r="AR19" i="4"/>
  <c r="BV29" i="4"/>
  <c r="BW29" i="4" s="1"/>
  <c r="AQ30" i="4"/>
  <c r="AQ26" i="4"/>
  <c r="BV25" i="4"/>
  <c r="BW25" i="4" s="1"/>
  <c r="BX24" i="4"/>
  <c r="I27" i="4"/>
  <c r="J27" i="4" s="1"/>
  <c r="AO32" i="4"/>
  <c r="AO24" i="4"/>
  <c r="AT33" i="4"/>
  <c r="AT32" i="4"/>
  <c r="AT31" i="4"/>
  <c r="AT30" i="4"/>
  <c r="AT29" i="4"/>
  <c r="AT28" i="4"/>
  <c r="AT27" i="4"/>
  <c r="AT26" i="4"/>
  <c r="AT25" i="4"/>
  <c r="AT24" i="4"/>
  <c r="AT23" i="4"/>
  <c r="AT22" i="4"/>
  <c r="AT21" i="4"/>
  <c r="AT20" i="4"/>
  <c r="AT19" i="4"/>
  <c r="AQ33" i="4"/>
  <c r="AQ29" i="4"/>
  <c r="AQ25" i="4"/>
  <c r="AQ21" i="4"/>
  <c r="BV31" i="4"/>
  <c r="BW31" i="4" s="1"/>
  <c r="BV23" i="4"/>
  <c r="BW23" i="4" s="1"/>
  <c r="BX30" i="4"/>
  <c r="BX22" i="4"/>
  <c r="I24" i="4"/>
  <c r="J24" i="4" s="1"/>
  <c r="AO31" i="4"/>
  <c r="AO23" i="4"/>
  <c r="AS33" i="4"/>
  <c r="AS32" i="4"/>
  <c r="AS31" i="4"/>
  <c r="AS30" i="4"/>
  <c r="AS29" i="4"/>
  <c r="AS28" i="4"/>
  <c r="AS27" i="4"/>
  <c r="AS26" i="4"/>
  <c r="AS25" i="4"/>
  <c r="AS24" i="4"/>
  <c r="AS23" i="4"/>
  <c r="AS22" i="4"/>
  <c r="AS21" i="4"/>
  <c r="AS20" i="4"/>
  <c r="AS19" i="4"/>
  <c r="AP33" i="4"/>
  <c r="AP29" i="4"/>
  <c r="AP25" i="4"/>
  <c r="AP21" i="4"/>
  <c r="BV30" i="4"/>
  <c r="BW30" i="4" s="1"/>
  <c r="BX29" i="4"/>
  <c r="C28" i="4"/>
  <c r="D28" i="4" s="1"/>
  <c r="AW33" i="4"/>
  <c r="AW29" i="4"/>
  <c r="AW26" i="4"/>
  <c r="AW24" i="4"/>
  <c r="AW21" i="4"/>
  <c r="C30" i="4"/>
  <c r="D30" i="4" s="1"/>
  <c r="AV33" i="4"/>
  <c r="AV30" i="4"/>
  <c r="AV28" i="4"/>
  <c r="AV24" i="4"/>
  <c r="AV21" i="4"/>
  <c r="C24" i="4"/>
  <c r="D24" i="4" s="1"/>
  <c r="I33" i="4"/>
  <c r="J33" i="4" s="1"/>
  <c r="AO27" i="4"/>
  <c r="AW30" i="4"/>
  <c r="AW27" i="4"/>
  <c r="AW22" i="4"/>
  <c r="AW19" i="4"/>
  <c r="AV32" i="4"/>
  <c r="AV26" i="4"/>
  <c r="C20" i="4"/>
  <c r="D20" i="4" s="1"/>
  <c r="AW32" i="4"/>
  <c r="AW28" i="4"/>
  <c r="AW25" i="4"/>
  <c r="AW23" i="4"/>
  <c r="AW20" i="4"/>
  <c r="AO26" i="4"/>
  <c r="AV29" i="4"/>
  <c r="AV25" i="4"/>
  <c r="AV22" i="4"/>
  <c r="AV19" i="4"/>
  <c r="AW31" i="4"/>
  <c r="C27" i="4"/>
  <c r="D27" i="4" s="1"/>
  <c r="AV31" i="4"/>
  <c r="AV27" i="4"/>
  <c r="AV23" i="4"/>
  <c r="I32" i="4"/>
  <c r="J32" i="4" s="1"/>
  <c r="I26" i="4"/>
  <c r="J26" i="4" s="1"/>
  <c r="I28" i="4"/>
  <c r="J28" i="4" s="1"/>
  <c r="I19" i="4"/>
  <c r="J19" i="4" s="1"/>
  <c r="C26" i="4"/>
  <c r="D26" i="4" s="1"/>
  <c r="C25" i="4"/>
  <c r="D25" i="4" s="1"/>
  <c r="C22" i="4"/>
  <c r="D22" i="4" s="1"/>
  <c r="C32" i="4"/>
  <c r="D32" i="4" s="1"/>
  <c r="C23" i="4"/>
  <c r="D23" i="4" s="1"/>
  <c r="C31" i="4"/>
  <c r="D31" i="4" s="1"/>
  <c r="I31" i="4"/>
  <c r="J31" i="4" s="1"/>
  <c r="I23" i="4"/>
  <c r="J23" i="4" s="1"/>
  <c r="I30" i="4"/>
  <c r="J30" i="4" s="1"/>
  <c r="I22" i="4"/>
  <c r="J22" i="4" s="1"/>
  <c r="C29" i="4"/>
  <c r="D29" i="4" s="1"/>
  <c r="C21" i="4"/>
  <c r="D21" i="4" s="1"/>
  <c r="I29" i="4"/>
  <c r="J29" i="4" s="1"/>
  <c r="I21" i="4"/>
  <c r="J21" i="4" s="1"/>
  <c r="AL25" i="4"/>
  <c r="AI29" i="4"/>
  <c r="AJ27" i="4"/>
  <c r="AG26" i="4"/>
  <c r="AF25" i="4"/>
  <c r="Q23" i="4"/>
  <c r="Q31" i="4"/>
  <c r="Q20" i="4"/>
  <c r="O24" i="4"/>
  <c r="P24" i="4" s="1"/>
  <c r="AJ20" i="4"/>
  <c r="AH20" i="4"/>
  <c r="AL20" i="4"/>
  <c r="AE20" i="4"/>
  <c r="AM20" i="4"/>
  <c r="AI20" i="4"/>
  <c r="AG20" i="4"/>
  <c r="AF20" i="4"/>
  <c r="AK20" i="4"/>
  <c r="AM21" i="4"/>
  <c r="O19" i="4"/>
  <c r="P19" i="4" s="1"/>
  <c r="AJ21" i="4"/>
  <c r="AM26" i="4"/>
  <c r="AL27" i="4"/>
  <c r="AH27" i="4"/>
  <c r="AF27" i="4"/>
  <c r="AM27" i="4"/>
  <c r="AE27" i="4"/>
  <c r="AG27" i="4"/>
  <c r="AK27" i="4"/>
  <c r="AL29" i="4"/>
  <c r="AH29" i="4"/>
  <c r="AF29" i="4"/>
  <c r="AM29" i="4"/>
  <c r="AE29" i="4"/>
  <c r="AG29" i="4"/>
  <c r="AJ29" i="4"/>
  <c r="AK29" i="4"/>
  <c r="AH30" i="4"/>
  <c r="AL30" i="4"/>
  <c r="AJ30" i="4"/>
  <c r="AI30" i="4"/>
  <c r="AG30" i="4"/>
  <c r="AF30" i="4"/>
  <c r="AE30" i="4"/>
  <c r="AM30" i="4"/>
  <c r="AK30" i="4"/>
  <c r="Q21" i="4"/>
  <c r="AK21" i="4"/>
  <c r="T22" i="4"/>
  <c r="Q22" i="4"/>
  <c r="AK23" i="4"/>
  <c r="AH23" i="4"/>
  <c r="AG23" i="4"/>
  <c r="AF23" i="4"/>
  <c r="AE23" i="4"/>
  <c r="AJ23" i="4"/>
  <c r="AI23" i="4"/>
  <c r="AM23" i="4"/>
  <c r="E25" i="4"/>
  <c r="AI27" i="4"/>
  <c r="O23" i="4"/>
  <c r="P23" i="4" s="1"/>
  <c r="Q19" i="4"/>
  <c r="T19" i="4"/>
  <c r="AF21" i="4"/>
  <c r="AL21" i="4"/>
  <c r="AH21" i="4"/>
  <c r="AG21" i="4"/>
  <c r="O22" i="4"/>
  <c r="P22" i="4" s="1"/>
  <c r="K21" i="4"/>
  <c r="O21" i="4"/>
  <c r="P21" i="4" s="1"/>
  <c r="E26" i="4"/>
  <c r="E33" i="4"/>
  <c r="E23" i="4"/>
  <c r="E19" i="4"/>
  <c r="Q29" i="4"/>
  <c r="E24" i="4"/>
  <c r="K23" i="4"/>
  <c r="E21" i="4"/>
  <c r="Q27" i="4"/>
  <c r="AI33" i="4"/>
  <c r="E32" i="4"/>
  <c r="K19" i="4"/>
  <c r="AG33" i="4"/>
  <c r="E31" i="4"/>
  <c r="E30" i="4"/>
  <c r="E28" i="4"/>
  <c r="Q33" i="4"/>
  <c r="AK26" i="4"/>
  <c r="AG25" i="4"/>
  <c r="D19" i="4"/>
  <c r="E20" i="4"/>
  <c r="E22" i="4"/>
  <c r="AL23" i="4"/>
  <c r="O25" i="4"/>
  <c r="P25" i="4" s="1"/>
  <c r="E27" i="4"/>
  <c r="E29" i="4"/>
  <c r="K20" i="4"/>
  <c r="O20" i="4"/>
  <c r="P20" i="4" s="1"/>
  <c r="AE21" i="4"/>
  <c r="O33" i="4"/>
  <c r="P33" i="4" s="1"/>
  <c r="AI21" i="4"/>
  <c r="Q24" i="4"/>
  <c r="T24" i="4"/>
  <c r="AJ33" i="4"/>
  <c r="Q25" i="4"/>
  <c r="AL31" i="4"/>
  <c r="AH31" i="4"/>
  <c r="AF31" i="4"/>
  <c r="AM31" i="4"/>
  <c r="AE31" i="4"/>
  <c r="AJ31" i="4"/>
  <c r="AI31" i="4"/>
  <c r="AG31" i="4"/>
  <c r="Q32" i="4"/>
  <c r="T32" i="4"/>
  <c r="AH25" i="4"/>
  <c r="AM25" i="4"/>
  <c r="AE25" i="4"/>
  <c r="AK25" i="4"/>
  <c r="AJ25" i="4"/>
  <c r="AI25" i="4"/>
  <c r="AH26" i="4"/>
  <c r="AL26" i="4"/>
  <c r="AI26" i="4"/>
  <c r="AF26" i="4"/>
  <c r="AE26" i="4"/>
  <c r="AJ26" i="4"/>
  <c r="K29" i="4"/>
  <c r="O29" i="4"/>
  <c r="P29" i="4" s="1"/>
  <c r="O30" i="4"/>
  <c r="P30" i="4" s="1"/>
  <c r="O26" i="4"/>
  <c r="P26" i="4" s="1"/>
  <c r="O32" i="4"/>
  <c r="P32" i="4" s="1"/>
  <c r="O28" i="4"/>
  <c r="P28" i="4" s="1"/>
  <c r="O27" i="4"/>
  <c r="P27" i="4" s="1"/>
  <c r="K30" i="4"/>
  <c r="AK31" i="4"/>
  <c r="Q28" i="4"/>
  <c r="K22" i="4"/>
  <c r="K25" i="4"/>
  <c r="T28" i="4"/>
  <c r="K26" i="4"/>
  <c r="K31" i="4"/>
  <c r="K32" i="4"/>
  <c r="Q26" i="4"/>
  <c r="K27" i="4"/>
  <c r="K28" i="4"/>
  <c r="O31" i="4"/>
  <c r="P31" i="4" s="1"/>
  <c r="K24" i="4"/>
  <c r="Q30" i="4"/>
  <c r="AL33" i="4"/>
  <c r="AH33" i="4"/>
  <c r="AF33" i="4"/>
  <c r="AM33" i="4"/>
  <c r="AE33" i="4"/>
  <c r="AK33" i="4"/>
  <c r="K33" i="4"/>
  <c r="BB56" i="1" l="1"/>
  <c r="BB55" i="1"/>
  <c r="AZ55" i="1"/>
  <c r="AZ56" i="1"/>
  <c r="AZ112" i="1" s="1"/>
  <c r="BC56" i="1"/>
  <c r="BC55" i="1"/>
  <c r="BA55" i="1"/>
  <c r="BA56" i="1"/>
  <c r="BY22" i="4"/>
  <c r="BY19" i="4"/>
  <c r="V23" i="4"/>
  <c r="BY31" i="4"/>
  <c r="BY21" i="4"/>
  <c r="BY27" i="4"/>
  <c r="BY26" i="4"/>
  <c r="BY30" i="4"/>
  <c r="BY29" i="4"/>
  <c r="BY32" i="4"/>
  <c r="AB23" i="4"/>
  <c r="BY23" i="4"/>
  <c r="AB25" i="4"/>
  <c r="BY24" i="4"/>
  <c r="BY25" i="4"/>
  <c r="BY20" i="4"/>
  <c r="BY28" i="4"/>
  <c r="R24" i="4"/>
  <c r="AB30" i="4"/>
  <c r="BY33" i="4"/>
  <c r="F28" i="4"/>
  <c r="F20" i="4"/>
  <c r="AC26" i="4"/>
  <c r="R32" i="4"/>
  <c r="W25" i="4"/>
  <c r="AC25" i="4"/>
  <c r="V31" i="4"/>
  <c r="F19" i="4"/>
  <c r="Y27" i="4"/>
  <c r="U33" i="4"/>
  <c r="AA30" i="4"/>
  <c r="U31" i="4"/>
  <c r="L24" i="4"/>
  <c r="AC31" i="4"/>
  <c r="Y29" i="4"/>
  <c r="F32" i="4"/>
  <c r="X27" i="4"/>
  <c r="R22" i="4"/>
  <c r="Z26" i="4"/>
  <c r="Z29" i="4"/>
  <c r="W23" i="4"/>
  <c r="Y33" i="4"/>
  <c r="L19" i="4"/>
  <c r="W20" i="4"/>
  <c r="F21" i="4"/>
  <c r="L25" i="4"/>
  <c r="W21" i="4"/>
  <c r="X26" i="4"/>
  <c r="W31" i="4"/>
  <c r="Z27" i="4"/>
  <c r="AC21" i="4"/>
  <c r="U21" i="4"/>
  <c r="AB33" i="4"/>
  <c r="Z23" i="4"/>
  <c r="F27" i="4"/>
  <c r="R29" i="4"/>
  <c r="R33" i="4"/>
  <c r="F30" i="4"/>
  <c r="L21" i="4"/>
  <c r="AC30" i="4"/>
  <c r="U27" i="4"/>
  <c r="V33" i="4"/>
  <c r="Z25" i="4"/>
  <c r="AA29" i="4"/>
  <c r="X33" i="4"/>
  <c r="AB21" i="4"/>
  <c r="AB29" i="4"/>
  <c r="AC27" i="4"/>
  <c r="W29" i="4"/>
  <c r="AA33" i="4"/>
  <c r="W33" i="4"/>
  <c r="AA31" i="4"/>
  <c r="F25" i="4"/>
  <c r="R23" i="4"/>
  <c r="Y26" i="4"/>
  <c r="F29" i="4"/>
  <c r="L29" i="4"/>
  <c r="W26" i="4"/>
  <c r="U25" i="4"/>
  <c r="Y30" i="4"/>
  <c r="R20" i="4"/>
  <c r="Y25" i="4"/>
  <c r="W27" i="4"/>
  <c r="AB26" i="4"/>
  <c r="U29" i="4"/>
  <c r="X30" i="4"/>
  <c r="L26" i="4"/>
  <c r="AC33" i="4"/>
  <c r="V27" i="4"/>
  <c r="X23" i="4"/>
  <c r="AA21" i="4"/>
  <c r="AC29" i="4"/>
  <c r="AB20" i="4"/>
  <c r="AA26" i="4"/>
  <c r="AB31" i="4"/>
  <c r="AA20" i="4"/>
  <c r="AA27" i="4"/>
  <c r="R31" i="4"/>
  <c r="F26" i="4"/>
  <c r="L20" i="4"/>
  <c r="Y20" i="4"/>
  <c r="Z20" i="4"/>
  <c r="V20" i="4"/>
  <c r="AB27" i="4"/>
  <c r="W30" i="4"/>
  <c r="L22" i="4"/>
  <c r="R28" i="4"/>
  <c r="Y31" i="4"/>
  <c r="V21" i="4"/>
  <c r="V26" i="4"/>
  <c r="Y23" i="4"/>
  <c r="R30" i="4"/>
  <c r="Y21" i="4"/>
  <c r="F24" i="4"/>
  <c r="X25" i="4"/>
  <c r="Z31" i="4"/>
  <c r="F33" i="4"/>
  <c r="L33" i="4"/>
  <c r="L28" i="4"/>
  <c r="R25" i="4"/>
  <c r="R21" i="4"/>
  <c r="F22" i="4"/>
  <c r="U26" i="4"/>
  <c r="U30" i="4"/>
  <c r="R19" i="4"/>
  <c r="L32" i="4"/>
  <c r="AH28" i="4"/>
  <c r="AL28" i="4"/>
  <c r="AJ28" i="4"/>
  <c r="AI28" i="4"/>
  <c r="AE28" i="4"/>
  <c r="AG28" i="4"/>
  <c r="AM28" i="4"/>
  <c r="AK28" i="4"/>
  <c r="AF28" i="4"/>
  <c r="AL24" i="4"/>
  <c r="AI24" i="4"/>
  <c r="AG24" i="4"/>
  <c r="AF24" i="4"/>
  <c r="AE24" i="4"/>
  <c r="AJ24" i="4"/>
  <c r="AH24" i="4"/>
  <c r="AM24" i="4"/>
  <c r="AK24" i="4"/>
  <c r="AA25" i="4"/>
  <c r="R27" i="4"/>
  <c r="L30" i="4"/>
  <c r="X21" i="4"/>
  <c r="AI19" i="4"/>
  <c r="AG19" i="4"/>
  <c r="AK19" i="4"/>
  <c r="AM19" i="4"/>
  <c r="AL19" i="4"/>
  <c r="AJ19" i="4"/>
  <c r="AH19" i="4"/>
  <c r="AE19" i="4"/>
  <c r="AF19" i="4"/>
  <c r="F23" i="4"/>
  <c r="AC23" i="4"/>
  <c r="X20" i="4"/>
  <c r="X31" i="4"/>
  <c r="V25" i="4"/>
  <c r="Z33" i="4"/>
  <c r="AA23" i="4"/>
  <c r="F31" i="4"/>
  <c r="L27" i="4"/>
  <c r="L31" i="4"/>
  <c r="Z21" i="4"/>
  <c r="V29" i="4"/>
  <c r="L23" i="4"/>
  <c r="AC20" i="4"/>
  <c r="AH32" i="4"/>
  <c r="AL32" i="4"/>
  <c r="AJ32" i="4"/>
  <c r="AI32" i="4"/>
  <c r="AM32" i="4"/>
  <c r="AK32" i="4"/>
  <c r="AG32" i="4"/>
  <c r="AF32" i="4"/>
  <c r="AE32" i="4"/>
  <c r="R26" i="4"/>
  <c r="AJ22" i="4"/>
  <c r="AI22" i="4"/>
  <c r="AH22" i="4"/>
  <c r="AL22" i="4"/>
  <c r="AM22" i="4"/>
  <c r="AG22" i="4"/>
  <c r="AF22" i="4"/>
  <c r="AE22" i="4"/>
  <c r="AK22" i="4"/>
  <c r="U20" i="4"/>
  <c r="U23" i="4"/>
  <c r="X29" i="4"/>
  <c r="Z30" i="4"/>
  <c r="V30" i="4"/>
  <c r="BC60" i="1" l="1"/>
  <c r="BC58" i="1"/>
  <c r="BC112" i="1"/>
  <c r="AZ60" i="1"/>
  <c r="AZ58" i="1"/>
  <c r="BB60" i="1"/>
  <c r="BB58" i="1"/>
  <c r="BB112" i="1"/>
  <c r="BA60" i="1"/>
  <c r="BA58" i="1"/>
  <c r="BA112" i="1"/>
  <c r="X19" i="4"/>
  <c r="Y19" i="4"/>
  <c r="X32" i="4"/>
  <c r="W28" i="4"/>
  <c r="V19" i="4"/>
  <c r="Z24" i="4"/>
  <c r="AC19" i="4"/>
  <c r="AO19" i="4"/>
  <c r="U19" i="4" s="1"/>
  <c r="AA24" i="4"/>
  <c r="AA32" i="4"/>
  <c r="V32" i="4"/>
  <c r="U24" i="4"/>
  <c r="U28" i="4"/>
  <c r="Y28" i="4"/>
  <c r="V28" i="4"/>
  <c r="AB28" i="4"/>
  <c r="Y24" i="4"/>
  <c r="V24" i="4"/>
  <c r="AB24" i="4"/>
  <c r="AC24" i="4"/>
  <c r="U22" i="4"/>
  <c r="AC22" i="4"/>
  <c r="AC28" i="4"/>
  <c r="AC32" i="4"/>
  <c r="AB22" i="4"/>
  <c r="AA19" i="4"/>
  <c r="W24" i="4"/>
  <c r="W32" i="4"/>
  <c r="X22" i="4"/>
  <c r="AB19" i="4"/>
  <c r="U32" i="4"/>
  <c r="AA22" i="4"/>
  <c r="Z19" i="4"/>
  <c r="Z22" i="4"/>
  <c r="Y32" i="4"/>
  <c r="Z28" i="4"/>
  <c r="X24" i="4"/>
  <c r="V22" i="4"/>
  <c r="AB32" i="4"/>
  <c r="X28" i="4"/>
  <c r="Y22" i="4"/>
  <c r="W19" i="4"/>
  <c r="AA28" i="4"/>
  <c r="Z32" i="4"/>
  <c r="W22" i="4"/>
  <c r="AH26" i="1" l="1"/>
  <c r="AI26" i="1"/>
  <c r="AJ26" i="1"/>
  <c r="AG26" i="1"/>
  <c r="Z105" i="1"/>
  <c r="Y105" i="1"/>
  <c r="X105" i="1"/>
  <c r="W105" i="1"/>
  <c r="Z104" i="1"/>
  <c r="Y104" i="1"/>
  <c r="X104" i="1"/>
  <c r="W104" i="1"/>
  <c r="AO52" i="1"/>
  <c r="AN52" i="1"/>
  <c r="AM52" i="1"/>
  <c r="AL52" i="1"/>
  <c r="AJ52" i="1"/>
  <c r="AI52" i="1"/>
  <c r="AH52" i="1"/>
  <c r="AG52" i="1"/>
  <c r="Z52" i="1"/>
  <c r="Y52" i="1"/>
  <c r="X52" i="1"/>
  <c r="W52" i="1"/>
  <c r="U52" i="1"/>
  <c r="T52" i="1"/>
  <c r="S52" i="1"/>
  <c r="R52" i="1"/>
  <c r="K52" i="1"/>
  <c r="J52" i="1"/>
  <c r="I52" i="1"/>
  <c r="H52" i="1"/>
  <c r="D52" i="1"/>
  <c r="E52" i="1"/>
  <c r="F52" i="1"/>
  <c r="C52" i="1"/>
  <c r="AD41" i="1" l="1"/>
  <c r="AD40" i="1"/>
  <c r="AD44" i="1" s="1"/>
  <c r="AD45" i="1" s="1"/>
  <c r="AD31" i="1"/>
  <c r="AD15" i="1"/>
  <c r="AD34" i="1" s="1"/>
  <c r="AD14" i="1"/>
  <c r="AD11" i="1"/>
  <c r="AD5" i="1"/>
  <c r="AD6" i="1" s="1"/>
  <c r="AD54" i="1" s="1"/>
  <c r="AB41" i="1"/>
  <c r="AB40" i="1"/>
  <c r="AB48" i="1" s="1"/>
  <c r="AB49" i="1" s="1"/>
  <c r="AB31" i="1"/>
  <c r="AB15" i="1"/>
  <c r="AB34" i="1" s="1"/>
  <c r="AB14" i="1"/>
  <c r="AB11" i="1"/>
  <c r="AB5" i="1"/>
  <c r="AB6" i="1" s="1"/>
  <c r="AB54" i="1" s="1"/>
  <c r="O41" i="1"/>
  <c r="O40" i="1"/>
  <c r="O31" i="1"/>
  <c r="O15" i="1"/>
  <c r="O34" i="1" s="1"/>
  <c r="O14" i="1"/>
  <c r="O11" i="1"/>
  <c r="O5" i="1"/>
  <c r="O6" i="1" s="1"/>
  <c r="O54" i="1" s="1"/>
  <c r="M41" i="1"/>
  <c r="M40" i="1"/>
  <c r="M31" i="1"/>
  <c r="M15" i="1"/>
  <c r="M34" i="1" s="1"/>
  <c r="M14" i="1"/>
  <c r="M11" i="1"/>
  <c r="M5" i="1"/>
  <c r="M6" i="1" s="1"/>
  <c r="M54" i="1" s="1"/>
  <c r="J11" i="1"/>
  <c r="J5" i="1"/>
  <c r="J23" i="1" s="1"/>
  <c r="K105" i="1"/>
  <c r="J105" i="1"/>
  <c r="I105" i="1"/>
  <c r="H105" i="1"/>
  <c r="K104" i="1"/>
  <c r="J104" i="1"/>
  <c r="I104" i="1"/>
  <c r="H104" i="1"/>
  <c r="AO105" i="1"/>
  <c r="AN105" i="1"/>
  <c r="AM105" i="1"/>
  <c r="AL105" i="1"/>
  <c r="AO104" i="1"/>
  <c r="AN104" i="1"/>
  <c r="AM104" i="1"/>
  <c r="AL104" i="1"/>
  <c r="AD32" i="1" l="1"/>
  <c r="AD35" i="1"/>
  <c r="AD46" i="1" s="1"/>
  <c r="O32" i="1"/>
  <c r="O35" i="1" s="1"/>
  <c r="O37" i="1" s="1"/>
  <c r="AB44" i="1"/>
  <c r="AB45" i="1" s="1"/>
  <c r="AD48" i="1"/>
  <c r="AD49" i="1" s="1"/>
  <c r="AB23" i="1"/>
  <c r="AB32" i="1"/>
  <c r="AB35" i="1" s="1"/>
  <c r="AB37" i="1" s="1"/>
  <c r="AD59" i="1"/>
  <c r="AD57" i="1"/>
  <c r="AD37" i="1"/>
  <c r="AD23" i="1"/>
  <c r="AB59" i="1"/>
  <c r="AB57" i="1"/>
  <c r="M32" i="1"/>
  <c r="M48" i="1"/>
  <c r="M49" i="1" s="1"/>
  <c r="O48" i="1"/>
  <c r="O49" i="1" s="1"/>
  <c r="M44" i="1"/>
  <c r="M45" i="1" s="1"/>
  <c r="O59" i="1"/>
  <c r="O57" i="1"/>
  <c r="O44" i="1"/>
  <c r="O45" i="1" s="1"/>
  <c r="M35" i="1"/>
  <c r="M36" i="1" s="1"/>
  <c r="M59" i="1"/>
  <c r="M57" i="1"/>
  <c r="AM107" i="1"/>
  <c r="AN11" i="1"/>
  <c r="AO11" i="1"/>
  <c r="AL11" i="1"/>
  <c r="Z11" i="1"/>
  <c r="Y11" i="1"/>
  <c r="X11" i="1"/>
  <c r="W11" i="1"/>
  <c r="I11" i="1"/>
  <c r="K11" i="1"/>
  <c r="H11" i="1"/>
  <c r="AM5" i="1"/>
  <c r="AN5" i="1"/>
  <c r="AO5" i="1"/>
  <c r="AL23" i="1"/>
  <c r="Z5" i="1"/>
  <c r="Y5" i="1"/>
  <c r="Y23" i="1" s="1"/>
  <c r="X5" i="1"/>
  <c r="X23" i="1" s="1"/>
  <c r="W5" i="1"/>
  <c r="I5" i="1"/>
  <c r="I23" i="1" s="1"/>
  <c r="K5" i="1"/>
  <c r="K23" i="1" s="1"/>
  <c r="H5" i="1"/>
  <c r="H23" i="1" s="1"/>
  <c r="O36" i="1" l="1"/>
  <c r="AO23" i="1"/>
  <c r="AO10" i="1"/>
  <c r="AM23" i="1"/>
  <c r="AM10" i="1"/>
  <c r="AN23" i="1"/>
  <c r="AN10" i="1"/>
  <c r="AL107" i="1"/>
  <c r="AL25" i="1"/>
  <c r="AL32" i="1" s="1"/>
  <c r="AO107" i="1"/>
  <c r="AO25" i="1"/>
  <c r="AO32" i="1" s="1"/>
  <c r="AN107" i="1"/>
  <c r="AN25" i="1"/>
  <c r="AN32" i="1" s="1"/>
  <c r="AD47" i="1"/>
  <c r="AD50" i="1" s="1"/>
  <c r="AD36" i="1"/>
  <c r="O47" i="1"/>
  <c r="O50" i="1" s="1"/>
  <c r="O53" i="1" s="1"/>
  <c r="AB46" i="1"/>
  <c r="AB47" i="1"/>
  <c r="AB50" i="1" s="1"/>
  <c r="AB53" i="1" s="1"/>
  <c r="AB36" i="1"/>
  <c r="X6" i="1"/>
  <c r="X108" i="1" s="1"/>
  <c r="X109" i="1" s="1"/>
  <c r="Y6" i="1"/>
  <c r="Y108" i="1" s="1"/>
  <c r="M46" i="1"/>
  <c r="M37" i="1"/>
  <c r="W6" i="1"/>
  <c r="W108" i="1" s="1"/>
  <c r="W109" i="1" s="1"/>
  <c r="W23" i="1"/>
  <c r="Z6" i="1"/>
  <c r="Z108" i="1" s="1"/>
  <c r="Z109" i="1" s="1"/>
  <c r="Z23" i="1"/>
  <c r="O46" i="1"/>
  <c r="M47" i="1"/>
  <c r="M50" i="1" s="1"/>
  <c r="M66" i="1" s="1"/>
  <c r="AQ10" i="1" l="1"/>
  <c r="AB66" i="1"/>
  <c r="AD53" i="1"/>
  <c r="AD56" i="1" s="1"/>
  <c r="AD66" i="1"/>
  <c r="O66" i="1"/>
  <c r="Y109" i="1"/>
  <c r="AB56" i="1"/>
  <c r="AB55" i="1"/>
  <c r="AC6" i="1"/>
  <c r="AE6" i="1"/>
  <c r="M53" i="1"/>
  <c r="M56" i="1" s="1"/>
  <c r="M60" i="1" s="1"/>
  <c r="O56" i="1"/>
  <c r="O55" i="1"/>
  <c r="AH107" i="1"/>
  <c r="AI107" i="1"/>
  <c r="AJ107" i="1"/>
  <c r="AG107" i="1"/>
  <c r="U105" i="1"/>
  <c r="T105" i="1"/>
  <c r="S105" i="1"/>
  <c r="R105" i="1"/>
  <c r="U104" i="1"/>
  <c r="T104" i="1"/>
  <c r="S104" i="1"/>
  <c r="R104" i="1"/>
  <c r="F105" i="1"/>
  <c r="E105" i="1"/>
  <c r="D105" i="1"/>
  <c r="C105" i="1"/>
  <c r="D104" i="1"/>
  <c r="E104" i="1"/>
  <c r="F104" i="1"/>
  <c r="C104" i="1"/>
  <c r="AH104" i="1"/>
  <c r="AI104" i="1"/>
  <c r="AJ104" i="1"/>
  <c r="AH105" i="1"/>
  <c r="AI105" i="1"/>
  <c r="AJ105" i="1"/>
  <c r="AG105" i="1"/>
  <c r="AG104" i="1"/>
  <c r="AD55" i="1" l="1"/>
  <c r="M55" i="1"/>
  <c r="AD60" i="1"/>
  <c r="AD58" i="1"/>
  <c r="AB60" i="1"/>
  <c r="AB58" i="1"/>
  <c r="M58" i="1"/>
  <c r="O60" i="1"/>
  <c r="O58" i="1"/>
  <c r="AM64" i="1"/>
  <c r="AN64" i="1" s="1"/>
  <c r="AO64" i="1" s="1"/>
  <c r="AM63" i="1"/>
  <c r="AN63" i="1" s="1"/>
  <c r="AO63" i="1" s="1"/>
  <c r="AO41" i="1"/>
  <c r="AN41" i="1"/>
  <c r="AM41" i="1"/>
  <c r="AL41" i="1"/>
  <c r="AO31" i="1"/>
  <c r="AO26" i="1" s="1"/>
  <c r="AN31" i="1"/>
  <c r="AN26" i="1" s="1"/>
  <c r="AM31" i="1"/>
  <c r="AM26" i="1" s="1"/>
  <c r="AL31" i="1"/>
  <c r="AL26" i="1" s="1"/>
  <c r="AO15" i="1"/>
  <c r="AN15" i="1"/>
  <c r="AM15" i="1"/>
  <c r="AL15" i="1"/>
  <c r="AO14" i="1"/>
  <c r="AN14" i="1"/>
  <c r="AM14" i="1"/>
  <c r="AL14" i="1"/>
  <c r="AO6" i="1"/>
  <c r="AO106" i="1" s="1"/>
  <c r="AN6" i="1"/>
  <c r="AN106" i="1" s="1"/>
  <c r="AM6" i="1"/>
  <c r="AM106" i="1" s="1"/>
  <c r="AL6" i="1"/>
  <c r="AL106" i="1" s="1"/>
  <c r="AH70" i="1"/>
  <c r="AJ39" i="1"/>
  <c r="AI39" i="1"/>
  <c r="AH39" i="1"/>
  <c r="AG39" i="1"/>
  <c r="AG41" i="1" s="1"/>
  <c r="AJ38" i="1"/>
  <c r="AI38" i="1"/>
  <c r="AH38" i="1"/>
  <c r="AG38" i="1"/>
  <c r="AH64" i="1"/>
  <c r="AI64" i="1" s="1"/>
  <c r="AJ64" i="1" s="1"/>
  <c r="AH63" i="1"/>
  <c r="AI63" i="1" s="1"/>
  <c r="AJ63" i="1" s="1"/>
  <c r="AH15" i="1"/>
  <c r="AI15" i="1"/>
  <c r="AJ15" i="1"/>
  <c r="AG15" i="1"/>
  <c r="AH5" i="1"/>
  <c r="AH23" i="1" s="1"/>
  <c r="AI5" i="1"/>
  <c r="AI23" i="1" s="1"/>
  <c r="AJ5" i="1"/>
  <c r="AJ23" i="1" s="1"/>
  <c r="AG5" i="1"/>
  <c r="AG23" i="1" s="1"/>
  <c r="AO34" i="1" l="1"/>
  <c r="AO35" i="1" s="1"/>
  <c r="AN34" i="1"/>
  <c r="AN35" i="1" s="1"/>
  <c r="AN37" i="1" s="1"/>
  <c r="AL34" i="1"/>
  <c r="AL35" i="1" s="1"/>
  <c r="AL37" i="1" s="1"/>
  <c r="AM34" i="1"/>
  <c r="AM35" i="1" s="1"/>
  <c r="AM37" i="1" s="1"/>
  <c r="AH71" i="1"/>
  <c r="AN108" i="1"/>
  <c r="AN109" i="1" s="1"/>
  <c r="AM108" i="1"/>
  <c r="AM109" i="1" s="1"/>
  <c r="AL108" i="1"/>
  <c r="AL109" i="1" s="1"/>
  <c r="AO108" i="1"/>
  <c r="AO109" i="1" s="1"/>
  <c r="AL48" i="1"/>
  <c r="AL49" i="1" s="1"/>
  <c r="AL44" i="1"/>
  <c r="AL45" i="1" s="1"/>
  <c r="AM48" i="1"/>
  <c r="AM49" i="1" s="1"/>
  <c r="AM44" i="1"/>
  <c r="AM45" i="1" s="1"/>
  <c r="AN48" i="1"/>
  <c r="AN49" i="1" s="1"/>
  <c r="AN44" i="1"/>
  <c r="AN45" i="1" s="1"/>
  <c r="AL54" i="1"/>
  <c r="AO48" i="1"/>
  <c r="AO49" i="1" s="1"/>
  <c r="AO44" i="1"/>
  <c r="AO45" i="1" s="1"/>
  <c r="AM54" i="1"/>
  <c r="AN54" i="1"/>
  <c r="AO54" i="1"/>
  <c r="AM110" i="1" l="1"/>
  <c r="AN110" i="1"/>
  <c r="AO110" i="1"/>
  <c r="AL110" i="1"/>
  <c r="AL46" i="1"/>
  <c r="AM47" i="1"/>
  <c r="AM50" i="1" s="1"/>
  <c r="AM53" i="1" s="1"/>
  <c r="BD53" i="1" s="1"/>
  <c r="AN46" i="1"/>
  <c r="AN36" i="1"/>
  <c r="AO36" i="1"/>
  <c r="AM36" i="1"/>
  <c r="AL36" i="1"/>
  <c r="AN47" i="1"/>
  <c r="AN50" i="1" s="1"/>
  <c r="AN53" i="1" s="1"/>
  <c r="AL47" i="1"/>
  <c r="AL50" i="1" s="1"/>
  <c r="AL53" i="1" s="1"/>
  <c r="AO59" i="1"/>
  <c r="AO57" i="1"/>
  <c r="AL59" i="1"/>
  <c r="AL57" i="1"/>
  <c r="AN59" i="1"/>
  <c r="AN57" i="1"/>
  <c r="AM46" i="1"/>
  <c r="AO46" i="1"/>
  <c r="AO47" i="1"/>
  <c r="AO50" i="1" s="1"/>
  <c r="AO66" i="1" s="1"/>
  <c r="AO37" i="1"/>
  <c r="AP37" i="1" s="1"/>
  <c r="AM59" i="1"/>
  <c r="AM57" i="1"/>
  <c r="AN66" i="1" l="1"/>
  <c r="AM66" i="1"/>
  <c r="AL66" i="1"/>
  <c r="AN55" i="1"/>
  <c r="AN56" i="1"/>
  <c r="AN112" i="1" s="1"/>
  <c r="AM56" i="1"/>
  <c r="AM112" i="1" s="1"/>
  <c r="AM55" i="1"/>
  <c r="AO53" i="1"/>
  <c r="BE53" i="1" s="1"/>
  <c r="AL55" i="1"/>
  <c r="AL56" i="1"/>
  <c r="AL112" i="1" s="1"/>
  <c r="AO55" i="1" l="1"/>
  <c r="AO56" i="1"/>
  <c r="AO112" i="1" s="1"/>
  <c r="AM60" i="1"/>
  <c r="AM58" i="1"/>
  <c r="AN60" i="1"/>
  <c r="AN58" i="1"/>
  <c r="AL58" i="1"/>
  <c r="AL60" i="1"/>
  <c r="AO60" i="1" l="1"/>
  <c r="AO58" i="1"/>
  <c r="S71" i="1" l="1"/>
  <c r="S70" i="1"/>
  <c r="D71" i="1"/>
  <c r="D70" i="1"/>
  <c r="X54" i="1"/>
  <c r="X110" i="1" s="1"/>
  <c r="W54" i="1"/>
  <c r="W110" i="1" s="1"/>
  <c r="AJ41" i="1"/>
  <c r="AI41" i="1"/>
  <c r="AH41" i="1"/>
  <c r="AJ40" i="1"/>
  <c r="AI40" i="1"/>
  <c r="AH40" i="1"/>
  <c r="AG40" i="1"/>
  <c r="AI34" i="1"/>
  <c r="AJ31" i="1"/>
  <c r="AI31" i="1"/>
  <c r="AI32" i="1" s="1"/>
  <c r="AH31" i="1"/>
  <c r="AG31" i="1"/>
  <c r="AJ34" i="1"/>
  <c r="AH34" i="1"/>
  <c r="AG34" i="1"/>
  <c r="AJ14" i="1"/>
  <c r="AI14" i="1"/>
  <c r="AH14" i="1"/>
  <c r="AG14" i="1"/>
  <c r="AJ6" i="1"/>
  <c r="AI6" i="1"/>
  <c r="AH6" i="1"/>
  <c r="AG6" i="1"/>
  <c r="Z41" i="1"/>
  <c r="Y41" i="1"/>
  <c r="X41" i="1"/>
  <c r="W41" i="1"/>
  <c r="Z40" i="1"/>
  <c r="Y40" i="1"/>
  <c r="X40" i="1"/>
  <c r="W40" i="1"/>
  <c r="Z31" i="1"/>
  <c r="Y31" i="1"/>
  <c r="X31" i="1"/>
  <c r="X32" i="1" s="1"/>
  <c r="W31" i="1"/>
  <c r="W32" i="1" s="1"/>
  <c r="Z15" i="1"/>
  <c r="Z34" i="1" s="1"/>
  <c r="Y15" i="1"/>
  <c r="Y34" i="1" s="1"/>
  <c r="X15" i="1"/>
  <c r="X34" i="1" s="1"/>
  <c r="W15" i="1"/>
  <c r="W34" i="1" s="1"/>
  <c r="Z14" i="1"/>
  <c r="Y14" i="1"/>
  <c r="X14" i="1"/>
  <c r="W14" i="1"/>
  <c r="Z54" i="1"/>
  <c r="Z110" i="1" s="1"/>
  <c r="U41" i="1"/>
  <c r="T41" i="1"/>
  <c r="S41" i="1"/>
  <c r="R41" i="1"/>
  <c r="U40" i="1"/>
  <c r="T40" i="1"/>
  <c r="S40" i="1"/>
  <c r="R40" i="1"/>
  <c r="U31" i="1"/>
  <c r="T31" i="1"/>
  <c r="S31" i="1"/>
  <c r="R31" i="1"/>
  <c r="U15" i="1"/>
  <c r="U34" i="1" s="1"/>
  <c r="T15" i="1"/>
  <c r="T34" i="1" s="1"/>
  <c r="S15" i="1"/>
  <c r="S34" i="1" s="1"/>
  <c r="R15" i="1"/>
  <c r="R34" i="1" s="1"/>
  <c r="U14" i="1"/>
  <c r="T14" i="1"/>
  <c r="S14" i="1"/>
  <c r="R14" i="1"/>
  <c r="U11" i="1"/>
  <c r="T11" i="1"/>
  <c r="S11" i="1"/>
  <c r="R11" i="1"/>
  <c r="U5" i="1"/>
  <c r="T5" i="1"/>
  <c r="S5" i="1"/>
  <c r="R5" i="1"/>
  <c r="K41" i="1"/>
  <c r="J41" i="1"/>
  <c r="I41" i="1"/>
  <c r="H41" i="1"/>
  <c r="K40" i="1"/>
  <c r="J40" i="1"/>
  <c r="I40" i="1"/>
  <c r="H40" i="1"/>
  <c r="K31" i="1"/>
  <c r="K32" i="1" s="1"/>
  <c r="J31" i="1"/>
  <c r="I31" i="1"/>
  <c r="I32" i="1" s="1"/>
  <c r="H31" i="1"/>
  <c r="K15" i="1"/>
  <c r="K34" i="1" s="1"/>
  <c r="J15" i="1"/>
  <c r="J34" i="1" s="1"/>
  <c r="I15" i="1"/>
  <c r="I34" i="1" s="1"/>
  <c r="H15" i="1"/>
  <c r="H34" i="1" s="1"/>
  <c r="K14" i="1"/>
  <c r="J14" i="1"/>
  <c r="I14" i="1"/>
  <c r="H14" i="1"/>
  <c r="J32" i="1"/>
  <c r="H6" i="1"/>
  <c r="H108" i="1" s="1"/>
  <c r="H109" i="1" s="1"/>
  <c r="K6" i="1"/>
  <c r="P6" i="1" s="1"/>
  <c r="J6" i="1"/>
  <c r="I6" i="1"/>
  <c r="I108" i="1" s="1"/>
  <c r="I109" i="1" s="1"/>
  <c r="D5" i="1"/>
  <c r="D23" i="1" s="1"/>
  <c r="E5" i="1"/>
  <c r="E23" i="1" s="1"/>
  <c r="F5" i="1"/>
  <c r="F23" i="1" s="1"/>
  <c r="D11" i="1"/>
  <c r="E11" i="1"/>
  <c r="F11" i="1"/>
  <c r="D14" i="1"/>
  <c r="E14" i="1"/>
  <c r="F14" i="1"/>
  <c r="D15" i="1"/>
  <c r="D34" i="1" s="1"/>
  <c r="E15" i="1"/>
  <c r="E34" i="1" s="1"/>
  <c r="F15" i="1"/>
  <c r="F34" i="1" s="1"/>
  <c r="D31" i="1"/>
  <c r="E31" i="1"/>
  <c r="F31" i="1"/>
  <c r="D40" i="1"/>
  <c r="E40" i="1"/>
  <c r="F40" i="1"/>
  <c r="D41" i="1"/>
  <c r="E41" i="1"/>
  <c r="F41" i="1"/>
  <c r="J35" i="1" l="1"/>
  <c r="R32" i="1"/>
  <c r="R35" i="1" s="1"/>
  <c r="R37" i="1" s="1"/>
  <c r="I35" i="1"/>
  <c r="Z48" i="1"/>
  <c r="Z49" i="1" s="1"/>
  <c r="Z44" i="1"/>
  <c r="Z45" i="1" s="1"/>
  <c r="W35" i="1"/>
  <c r="W36" i="1" s="1"/>
  <c r="T6" i="1"/>
  <c r="T23" i="1"/>
  <c r="AG106" i="1"/>
  <c r="AG61" i="1"/>
  <c r="AG54" i="1"/>
  <c r="AH106" i="1"/>
  <c r="AH108" i="1" s="1"/>
  <c r="AH109" i="1" s="1"/>
  <c r="AH61" i="1"/>
  <c r="AH54" i="1"/>
  <c r="S32" i="1"/>
  <c r="S35" i="1" s="1"/>
  <c r="S37" i="1" s="1"/>
  <c r="AI106" i="1"/>
  <c r="AI108" i="1" s="1"/>
  <c r="AI109" i="1" s="1"/>
  <c r="AI61" i="1"/>
  <c r="AI54" i="1"/>
  <c r="X35" i="1"/>
  <c r="X36" i="1" s="1"/>
  <c r="AJ106" i="1"/>
  <c r="AJ108" i="1" s="1"/>
  <c r="AJ109" i="1" s="1"/>
  <c r="AJ61" i="1"/>
  <c r="AJ54" i="1"/>
  <c r="U48" i="1"/>
  <c r="U49" i="1" s="1"/>
  <c r="X48" i="1"/>
  <c r="X49" i="1" s="1"/>
  <c r="U6" i="1"/>
  <c r="U23" i="1"/>
  <c r="W48" i="1"/>
  <c r="W49" i="1" s="1"/>
  <c r="H48" i="1"/>
  <c r="H49" i="1" s="1"/>
  <c r="R6" i="1"/>
  <c r="R23" i="1"/>
  <c r="R44" i="1"/>
  <c r="R45" i="1" s="1"/>
  <c r="Y48" i="1"/>
  <c r="Y49" i="1" s="1"/>
  <c r="T32" i="1"/>
  <c r="T35" i="1" s="1"/>
  <c r="S6" i="1"/>
  <c r="S23" i="1"/>
  <c r="K35" i="1"/>
  <c r="K36" i="1" s="1"/>
  <c r="K108" i="1"/>
  <c r="K109" i="1" s="1"/>
  <c r="N6" i="1"/>
  <c r="E48" i="1"/>
  <c r="E49" i="1" s="1"/>
  <c r="E32" i="1"/>
  <c r="E35" i="1" s="1"/>
  <c r="D6" i="1"/>
  <c r="I36" i="1"/>
  <c r="I48" i="1"/>
  <c r="I49" i="1" s="1"/>
  <c r="J36" i="1"/>
  <c r="J48" i="1"/>
  <c r="J49" i="1" s="1"/>
  <c r="J44" i="1"/>
  <c r="J45" i="1" s="1"/>
  <c r="K48" i="1"/>
  <c r="K49" i="1" s="1"/>
  <c r="E6" i="1"/>
  <c r="F48" i="1"/>
  <c r="F49" i="1" s="1"/>
  <c r="F6" i="1"/>
  <c r="J54" i="1"/>
  <c r="J108" i="1"/>
  <c r="J109" i="1" s="1"/>
  <c r="K54" i="1"/>
  <c r="Z59" i="1"/>
  <c r="Z57" i="1"/>
  <c r="W57" i="1"/>
  <c r="W59" i="1"/>
  <c r="X57" i="1"/>
  <c r="X59" i="1"/>
  <c r="H32" i="1"/>
  <c r="H35" i="1" s="1"/>
  <c r="I54" i="1"/>
  <c r="I110" i="1" s="1"/>
  <c r="H54" i="1"/>
  <c r="H110" i="1" s="1"/>
  <c r="AJ48" i="1"/>
  <c r="AJ49" i="1" s="1"/>
  <c r="AH48" i="1"/>
  <c r="AH49" i="1" s="1"/>
  <c r="AI48" i="1"/>
  <c r="AI49" i="1" s="1"/>
  <c r="AG44" i="1"/>
  <c r="AG45" i="1" s="1"/>
  <c r="AI35" i="1"/>
  <c r="AI37" i="1" s="1"/>
  <c r="Z32" i="1"/>
  <c r="Z35" i="1" s="1"/>
  <c r="Y54" i="1"/>
  <c r="Y110" i="1" s="1"/>
  <c r="Y32" i="1"/>
  <c r="Y35" i="1" s="1"/>
  <c r="AG48" i="1"/>
  <c r="AG49" i="1" s="1"/>
  <c r="AJ32" i="1"/>
  <c r="AJ35" i="1" s="1"/>
  <c r="AH32" i="1"/>
  <c r="AH35" i="1" s="1"/>
  <c r="AG32" i="1"/>
  <c r="AG35" i="1" s="1"/>
  <c r="AH44" i="1"/>
  <c r="AH45" i="1" s="1"/>
  <c r="AI44" i="1"/>
  <c r="AI45" i="1" s="1"/>
  <c r="AJ44" i="1"/>
  <c r="AJ45" i="1" s="1"/>
  <c r="W44" i="1"/>
  <c r="W45" i="1" s="1"/>
  <c r="X44" i="1"/>
  <c r="X45" i="1" s="1"/>
  <c r="Y44" i="1"/>
  <c r="Y45" i="1" s="1"/>
  <c r="T48" i="1"/>
  <c r="T49" i="1" s="1"/>
  <c r="S48" i="1"/>
  <c r="S49" i="1" s="1"/>
  <c r="R48" i="1"/>
  <c r="R49" i="1" s="1"/>
  <c r="S44" i="1"/>
  <c r="S45" i="1" s="1"/>
  <c r="U32" i="1"/>
  <c r="U35" i="1" s="1"/>
  <c r="T44" i="1"/>
  <c r="T45" i="1" s="1"/>
  <c r="U44" i="1"/>
  <c r="U45" i="1" s="1"/>
  <c r="I37" i="1"/>
  <c r="J37" i="1"/>
  <c r="I44" i="1"/>
  <c r="I45" i="1" s="1"/>
  <c r="K44" i="1"/>
  <c r="K45" i="1" s="1"/>
  <c r="H44" i="1"/>
  <c r="H45" i="1" s="1"/>
  <c r="D48" i="1"/>
  <c r="D49" i="1" s="1"/>
  <c r="F32" i="1"/>
  <c r="F35" i="1" s="1"/>
  <c r="D32" i="1"/>
  <c r="D35" i="1" s="1"/>
  <c r="F44" i="1"/>
  <c r="F45" i="1" s="1"/>
  <c r="E44" i="1"/>
  <c r="E45" i="1" s="1"/>
  <c r="D44" i="1"/>
  <c r="D45" i="1" s="1"/>
  <c r="R36" i="1" l="1"/>
  <c r="J46" i="1"/>
  <c r="R46" i="1"/>
  <c r="I46" i="1"/>
  <c r="W37" i="1"/>
  <c r="W47" i="1"/>
  <c r="W50" i="1" s="1"/>
  <c r="S46" i="1"/>
  <c r="K37" i="1"/>
  <c r="AJ110" i="1"/>
  <c r="K46" i="1"/>
  <c r="T47" i="1"/>
  <c r="T50" i="1" s="1"/>
  <c r="T66" i="1" s="1"/>
  <c r="R47" i="1"/>
  <c r="R50" i="1" s="1"/>
  <c r="R53" i="1" s="1"/>
  <c r="R56" i="1" s="1"/>
  <c r="X37" i="1"/>
  <c r="AI110" i="1"/>
  <c r="U37" i="1"/>
  <c r="U36" i="1"/>
  <c r="S108" i="1"/>
  <c r="S109" i="1" s="1"/>
  <c r="S54" i="1"/>
  <c r="S61" i="1"/>
  <c r="AI46" i="1"/>
  <c r="Y37" i="1"/>
  <c r="Y36" i="1"/>
  <c r="AI59" i="1"/>
  <c r="AI57" i="1"/>
  <c r="AG59" i="1"/>
  <c r="AG57" i="1"/>
  <c r="Z37" i="1"/>
  <c r="Z36" i="1"/>
  <c r="H37" i="1"/>
  <c r="H36" i="1"/>
  <c r="T37" i="1"/>
  <c r="T36" i="1"/>
  <c r="X47" i="1"/>
  <c r="X50" i="1" s="1"/>
  <c r="X66" i="1" s="1"/>
  <c r="AG36" i="1"/>
  <c r="AI36" i="1"/>
  <c r="S36" i="1"/>
  <c r="AG108" i="1"/>
  <c r="AG109" i="1" s="1"/>
  <c r="AG110" i="1" s="1"/>
  <c r="AH37" i="1"/>
  <c r="AH36" i="1"/>
  <c r="R108" i="1"/>
  <c r="R109" i="1" s="1"/>
  <c r="R54" i="1"/>
  <c r="R61" i="1"/>
  <c r="AJ59" i="1"/>
  <c r="AJ57" i="1"/>
  <c r="AH110" i="1"/>
  <c r="AH59" i="1"/>
  <c r="AH57" i="1"/>
  <c r="T108" i="1"/>
  <c r="T109" i="1" s="1"/>
  <c r="T61" i="1"/>
  <c r="T54" i="1"/>
  <c r="U108" i="1"/>
  <c r="U109" i="1" s="1"/>
  <c r="U54" i="1"/>
  <c r="U61" i="1"/>
  <c r="AJ37" i="1"/>
  <c r="AJ36" i="1"/>
  <c r="F47" i="1"/>
  <c r="F50" i="1" s="1"/>
  <c r="F66" i="1" s="1"/>
  <c r="D37" i="1"/>
  <c r="D36" i="1"/>
  <c r="J47" i="1"/>
  <c r="J50" i="1" s="1"/>
  <c r="J53" i="1" s="1"/>
  <c r="J56" i="1" s="1"/>
  <c r="F37" i="1"/>
  <c r="F36" i="1"/>
  <c r="F108" i="1"/>
  <c r="F109" i="1" s="1"/>
  <c r="F61" i="1"/>
  <c r="F54" i="1"/>
  <c r="E37" i="1"/>
  <c r="E36" i="1"/>
  <c r="D47" i="1"/>
  <c r="D50" i="1" s="1"/>
  <c r="D53" i="1" s="1"/>
  <c r="E47" i="1"/>
  <c r="E50" i="1" s="1"/>
  <c r="E66" i="1" s="1"/>
  <c r="J110" i="1"/>
  <c r="E108" i="1"/>
  <c r="E109" i="1" s="1"/>
  <c r="E61" i="1"/>
  <c r="E54" i="1"/>
  <c r="D108" i="1"/>
  <c r="D109" i="1" s="1"/>
  <c r="D61" i="1"/>
  <c r="D54" i="1"/>
  <c r="J59" i="1"/>
  <c r="J57" i="1"/>
  <c r="Z47" i="1"/>
  <c r="Z50" i="1" s="1"/>
  <c r="K110" i="1"/>
  <c r="K59" i="1"/>
  <c r="K57" i="1"/>
  <c r="Y46" i="1"/>
  <c r="X46" i="1"/>
  <c r="Y59" i="1"/>
  <c r="Y57" i="1"/>
  <c r="H46" i="1"/>
  <c r="I57" i="1"/>
  <c r="I59" i="1"/>
  <c r="H59" i="1"/>
  <c r="H57" i="1"/>
  <c r="AG46" i="1"/>
  <c r="AG37" i="1"/>
  <c r="AG47" i="1"/>
  <c r="AG50" i="1" s="1"/>
  <c r="Z46" i="1"/>
  <c r="Y47" i="1"/>
  <c r="Y50" i="1" s="1"/>
  <c r="AH46" i="1"/>
  <c r="AJ47" i="1"/>
  <c r="AJ50" i="1" s="1"/>
  <c r="AJ66" i="1" s="1"/>
  <c r="AH47" i="1"/>
  <c r="AH50" i="1" s="1"/>
  <c r="AH66" i="1" s="1"/>
  <c r="AI47" i="1"/>
  <c r="AI50" i="1" s="1"/>
  <c r="AI53" i="1" s="1"/>
  <c r="AJ46" i="1"/>
  <c r="W46" i="1"/>
  <c r="I47" i="1"/>
  <c r="I50" i="1" s="1"/>
  <c r="I53" i="1" s="1"/>
  <c r="I56" i="1" s="1"/>
  <c r="I112" i="1" s="1"/>
  <c r="S47" i="1"/>
  <c r="S50" i="1" s="1"/>
  <c r="S53" i="1" s="1"/>
  <c r="S56" i="1" s="1"/>
  <c r="U46" i="1"/>
  <c r="U47" i="1"/>
  <c r="U50" i="1" s="1"/>
  <c r="U53" i="1" s="1"/>
  <c r="U56" i="1" s="1"/>
  <c r="T46" i="1"/>
  <c r="K47" i="1"/>
  <c r="K50" i="1" s="1"/>
  <c r="K53" i="1" s="1"/>
  <c r="P53" i="1" s="1"/>
  <c r="H47" i="1"/>
  <c r="H50" i="1" s="1"/>
  <c r="H66" i="1" s="1"/>
  <c r="E46" i="1"/>
  <c r="F46" i="1"/>
  <c r="D46" i="1"/>
  <c r="W53" i="1" l="1"/>
  <c r="W55" i="1" s="1"/>
  <c r="Y53" i="1"/>
  <c r="Y55" i="1" s="1"/>
  <c r="X53" i="1"/>
  <c r="X56" i="1" s="1"/>
  <c r="X112" i="1" s="1"/>
  <c r="U66" i="1"/>
  <c r="Z53" i="1"/>
  <c r="AE53" i="1" s="1"/>
  <c r="AG53" i="1"/>
  <c r="AG55" i="1" s="1"/>
  <c r="W66" i="1"/>
  <c r="J66" i="1"/>
  <c r="D66" i="1"/>
  <c r="K66" i="1"/>
  <c r="R66" i="1"/>
  <c r="AI66" i="1"/>
  <c r="AG66" i="1"/>
  <c r="I66" i="1"/>
  <c r="S66" i="1"/>
  <c r="Z66" i="1"/>
  <c r="Y66" i="1"/>
  <c r="AH53" i="1"/>
  <c r="AH55" i="1" s="1"/>
  <c r="R110" i="1"/>
  <c r="S110" i="1"/>
  <c r="T53" i="1"/>
  <c r="T56" i="1" s="1"/>
  <c r="T110" i="1"/>
  <c r="U110" i="1"/>
  <c r="U59" i="1"/>
  <c r="U60" i="1" s="1"/>
  <c r="U57" i="1"/>
  <c r="U58" i="1" s="1"/>
  <c r="S59" i="1"/>
  <c r="S60" i="1" s="1"/>
  <c r="S57" i="1"/>
  <c r="S58" i="1" s="1"/>
  <c r="AJ53" i="1"/>
  <c r="AJ55" i="1" s="1"/>
  <c r="T59" i="1"/>
  <c r="T57" i="1"/>
  <c r="H53" i="1"/>
  <c r="H56" i="1" s="1"/>
  <c r="H112" i="1" s="1"/>
  <c r="R59" i="1"/>
  <c r="R60" i="1" s="1"/>
  <c r="R57" i="1"/>
  <c r="R58" i="1" s="1"/>
  <c r="F53" i="1"/>
  <c r="F55" i="1" s="1"/>
  <c r="K56" i="1"/>
  <c r="K112" i="1" s="1"/>
  <c r="N53" i="1"/>
  <c r="D110" i="1"/>
  <c r="F59" i="1"/>
  <c r="F57" i="1"/>
  <c r="E110" i="1"/>
  <c r="F110" i="1"/>
  <c r="E53" i="1"/>
  <c r="E56" i="1" s="1"/>
  <c r="D57" i="1"/>
  <c r="D59" i="1"/>
  <c r="E59" i="1"/>
  <c r="E57" i="1"/>
  <c r="J58" i="1"/>
  <c r="J55" i="1"/>
  <c r="J60" i="1"/>
  <c r="J112" i="1"/>
  <c r="S62" i="1"/>
  <c r="S112" i="1"/>
  <c r="I58" i="1"/>
  <c r="R62" i="1"/>
  <c r="R112" i="1"/>
  <c r="U62" i="1"/>
  <c r="U112" i="1"/>
  <c r="I60" i="1"/>
  <c r="AI56" i="1"/>
  <c r="AI112" i="1" s="1"/>
  <c r="AI55" i="1"/>
  <c r="S55" i="1"/>
  <c r="R55" i="1"/>
  <c r="U55" i="1"/>
  <c r="K55" i="1"/>
  <c r="D56" i="1"/>
  <c r="D55" i="1"/>
  <c r="I55" i="1"/>
  <c r="T60" i="1" l="1"/>
  <c r="W56" i="1"/>
  <c r="W112" i="1" s="1"/>
  <c r="Z56" i="1"/>
  <c r="Z112" i="1" s="1"/>
  <c r="Z55" i="1"/>
  <c r="AC53" i="1"/>
  <c r="X55" i="1"/>
  <c r="AH56" i="1"/>
  <c r="AH112" i="1" s="1"/>
  <c r="Y56" i="1"/>
  <c r="Y112" i="1" s="1"/>
  <c r="AG56" i="1"/>
  <c r="AG58" i="1" s="1"/>
  <c r="T55" i="1"/>
  <c r="T62" i="1"/>
  <c r="T112" i="1"/>
  <c r="T58" i="1"/>
  <c r="H60" i="1"/>
  <c r="F56" i="1"/>
  <c r="F58" i="1" s="1"/>
  <c r="AJ56" i="1"/>
  <c r="AJ112" i="1" s="1"/>
  <c r="H55" i="1"/>
  <c r="H58" i="1"/>
  <c r="E55" i="1"/>
  <c r="K58" i="1"/>
  <c r="K60" i="1"/>
  <c r="D58" i="1"/>
  <c r="E58" i="1"/>
  <c r="D60" i="1"/>
  <c r="E60" i="1"/>
  <c r="E112" i="1"/>
  <c r="E62" i="1"/>
  <c r="D112" i="1"/>
  <c r="D62" i="1"/>
  <c r="AI60" i="1"/>
  <c r="AI58" i="1"/>
  <c r="AI62" i="1"/>
  <c r="Y60" i="1"/>
  <c r="W60" i="1"/>
  <c r="W58" i="1"/>
  <c r="X60" i="1"/>
  <c r="X58" i="1"/>
  <c r="Z60" i="1" l="1"/>
  <c r="Z58" i="1"/>
  <c r="Y58" i="1"/>
  <c r="AG112" i="1"/>
  <c r="AG62" i="1"/>
  <c r="AG60" i="1"/>
  <c r="AH58" i="1"/>
  <c r="AH60" i="1"/>
  <c r="AH62" i="1"/>
  <c r="F62" i="1"/>
  <c r="AJ60" i="1"/>
  <c r="F112" i="1"/>
  <c r="F60" i="1"/>
  <c r="AJ62" i="1"/>
  <c r="AJ58" i="1"/>
  <c r="C22" i="2"/>
  <c r="C21" i="2"/>
  <c r="E21" i="2" s="1"/>
  <c r="E12" i="2"/>
  <c r="J12" i="2"/>
  <c r="E13" i="2"/>
  <c r="J13" i="2"/>
  <c r="C19" i="2"/>
  <c r="C18" i="2"/>
  <c r="G13" i="2"/>
  <c r="F10" i="2"/>
  <c r="I10" i="2"/>
  <c r="F9" i="2"/>
  <c r="I9" i="2"/>
  <c r="F12" i="2"/>
  <c r="F11" i="2"/>
  <c r="I11" i="2"/>
  <c r="I12" i="2"/>
  <c r="F13" i="2"/>
  <c r="C41" i="1" l="1"/>
  <c r="C40" i="1"/>
  <c r="C15" i="1"/>
  <c r="C34" i="1" s="1"/>
  <c r="C14" i="1"/>
  <c r="C5" i="1"/>
  <c r="C23" i="1" s="1"/>
  <c r="C11" i="1"/>
  <c r="C31" i="1"/>
  <c r="C44" i="1" l="1"/>
  <c r="C45" i="1" s="1"/>
  <c r="C48" i="1"/>
  <c r="C49" i="1" s="1"/>
  <c r="C6" i="1"/>
  <c r="C32" i="1"/>
  <c r="C35" i="1" s="1"/>
  <c r="C36" i="1" l="1"/>
  <c r="C47" i="1"/>
  <c r="C50" i="1" s="1"/>
  <c r="C66" i="1" s="1"/>
  <c r="C46" i="1"/>
  <c r="C108" i="1"/>
  <c r="C54" i="1"/>
  <c r="C61" i="1"/>
  <c r="C37" i="1"/>
  <c r="C109" i="1" l="1"/>
  <c r="C110" i="1" s="1"/>
  <c r="C53" i="1"/>
  <c r="C55" i="1" s="1"/>
  <c r="C57" i="1"/>
  <c r="C59" i="1"/>
  <c r="C56" i="1" l="1"/>
  <c r="C60" i="1" s="1"/>
  <c r="C58" i="1" l="1"/>
  <c r="C112" i="1"/>
  <c r="C62" i="1"/>
</calcChain>
</file>

<file path=xl/comments1.xml><?xml version="1.0" encoding="utf-8"?>
<comments xmlns="http://schemas.openxmlformats.org/spreadsheetml/2006/main">
  <authors>
    <author>Martien</author>
  </authors>
  <commentList>
    <comment ref="M4" authorId="0">
      <text>
        <r>
          <rPr>
            <b/>
            <sz val="9"/>
            <color indexed="81"/>
            <rFont val="Tahoma"/>
            <family val="2"/>
          </rPr>
          <t>Original wall thickness of 70 mm</t>
        </r>
      </text>
    </comment>
    <comment ref="O4" authorId="0">
      <text>
        <r>
          <rPr>
            <b/>
            <sz val="9"/>
            <color indexed="81"/>
            <rFont val="Tahoma"/>
            <family val="2"/>
          </rPr>
          <t>Optimal wall thickness (minimum specific heat loss)</t>
        </r>
        <r>
          <rPr>
            <sz val="9"/>
            <color indexed="81"/>
            <rFont val="Tahoma"/>
            <family val="2"/>
          </rPr>
          <t xml:space="preserve">
</t>
        </r>
      </text>
    </comment>
    <comment ref="AB4" authorId="0">
      <text>
        <r>
          <rPr>
            <b/>
            <sz val="9"/>
            <color indexed="81"/>
            <rFont val="Tahoma"/>
            <family val="2"/>
          </rPr>
          <t>Original wall thickness of 120 mm</t>
        </r>
      </text>
    </comment>
    <comment ref="AD4" authorId="0">
      <text>
        <r>
          <rPr>
            <b/>
            <sz val="9"/>
            <color indexed="81"/>
            <rFont val="Tahoma"/>
            <family val="2"/>
          </rPr>
          <t>Optimal wall thickness (minimum specific heat loss)</t>
        </r>
        <r>
          <rPr>
            <sz val="9"/>
            <color indexed="81"/>
            <rFont val="Tahoma"/>
            <family val="2"/>
          </rPr>
          <t xml:space="preserve">
</t>
        </r>
      </text>
    </comment>
    <comment ref="AG5" authorId="0">
      <text>
        <r>
          <rPr>
            <b/>
            <sz val="9"/>
            <color indexed="81"/>
            <rFont val="Tahoma"/>
            <family val="2"/>
          </rPr>
          <t xml:space="preserve">Volume with separator deduction
</t>
        </r>
      </text>
    </comment>
    <comment ref="AL5" authorId="0">
      <text>
        <r>
          <rPr>
            <b/>
            <sz val="9"/>
            <color indexed="81"/>
            <rFont val="Tahoma"/>
            <family val="2"/>
          </rPr>
          <t xml:space="preserve">Separator taken into account
</t>
        </r>
      </text>
    </comment>
    <comment ref="AZ5" authorId="0">
      <text>
        <r>
          <rPr>
            <b/>
            <sz val="9"/>
            <color indexed="81"/>
            <rFont val="Tahoma"/>
            <family val="2"/>
          </rPr>
          <t xml:space="preserve">Separator taken into account
</t>
        </r>
      </text>
    </comment>
    <comment ref="AG11" authorId="0">
      <text>
        <r>
          <rPr>
            <b/>
            <sz val="9"/>
            <color indexed="81"/>
            <rFont val="Tahoma"/>
            <family val="2"/>
          </rPr>
          <t>Area calculation not clear, replaced here with values from the report</t>
        </r>
        <r>
          <rPr>
            <sz val="9"/>
            <color indexed="81"/>
            <rFont val="Tahoma"/>
            <family val="2"/>
          </rPr>
          <t xml:space="preserve">
</t>
        </r>
      </text>
    </comment>
    <comment ref="AG15" authorId="0">
      <text>
        <r>
          <rPr>
            <b/>
            <sz val="9"/>
            <color indexed="81"/>
            <rFont val="Tahoma"/>
            <family val="2"/>
          </rPr>
          <t>separator taken into account</t>
        </r>
        <r>
          <rPr>
            <sz val="9"/>
            <color indexed="81"/>
            <rFont val="Tahoma"/>
            <family val="2"/>
          </rPr>
          <t xml:space="preserve">
</t>
        </r>
      </text>
    </comment>
    <comment ref="AL15" authorId="0">
      <text>
        <r>
          <rPr>
            <b/>
            <sz val="9"/>
            <color indexed="81"/>
            <rFont val="Tahoma"/>
            <family val="2"/>
          </rPr>
          <t>Corrected for separator</t>
        </r>
        <r>
          <rPr>
            <sz val="9"/>
            <color indexed="81"/>
            <rFont val="Tahoma"/>
            <family val="2"/>
          </rPr>
          <t xml:space="preserve">
</t>
        </r>
      </text>
    </comment>
    <comment ref="AZ15" authorId="0">
      <text>
        <r>
          <rPr>
            <b/>
            <sz val="9"/>
            <color indexed="81"/>
            <rFont val="Tahoma"/>
            <family val="2"/>
          </rPr>
          <t>Corrected for separator</t>
        </r>
        <r>
          <rPr>
            <sz val="9"/>
            <color indexed="81"/>
            <rFont val="Tahoma"/>
            <family val="2"/>
          </rPr>
          <t xml:space="preserve">
</t>
        </r>
      </text>
    </comment>
    <comment ref="AG26" authorId="0">
      <text>
        <r>
          <rPr>
            <b/>
            <sz val="9"/>
            <color indexed="81"/>
            <rFont val="Tahoma"/>
            <family val="2"/>
          </rPr>
          <t xml:space="preserve">Weighted by volume using -20 en +4 </t>
        </r>
      </text>
    </comment>
    <comment ref="AL26" authorId="0">
      <text>
        <r>
          <rPr>
            <sz val="9"/>
            <color indexed="81"/>
            <rFont val="Tahoma"/>
            <family val="2"/>
          </rPr>
          <t xml:space="preserve">The model does not use this value as input. It is calculated from the heat flow for both compartment divided by conductance overall
</t>
        </r>
      </text>
    </comment>
    <comment ref="AZ26" authorId="0">
      <text>
        <r>
          <rPr>
            <sz val="9"/>
            <color indexed="81"/>
            <rFont val="Tahoma"/>
            <family val="2"/>
          </rPr>
          <t xml:space="preserve">The model does not use this value as input. It is calculated from the heat flow for both compartment divided by conductance overall
</t>
        </r>
      </text>
    </comment>
    <comment ref="B66" authorId="0">
      <text>
        <r>
          <rPr>
            <sz val="9"/>
            <color indexed="81"/>
            <rFont val="Tahoma"/>
            <family val="2"/>
          </rPr>
          <t xml:space="preserve">Takes the heat loss plus compressor input and divides this by twice the available condenser surface (assuming flat plate active at both sides) and the condenser temperatur difference. Values can be plotted as function of delta-t and should exhibit natural convection profile
</t>
        </r>
      </text>
    </comment>
  </commentList>
</comments>
</file>

<file path=xl/sharedStrings.xml><?xml version="1.0" encoding="utf-8"?>
<sst xmlns="http://schemas.openxmlformats.org/spreadsheetml/2006/main" count="255" uniqueCount="188">
  <si>
    <t>V</t>
  </si>
  <si>
    <t>Refrigerated volume [m3]</t>
  </si>
  <si>
    <t>Refrigerated volume [dm3]</t>
  </si>
  <si>
    <t>A</t>
  </si>
  <si>
    <t>Refrigerated envelope surface [m2]</t>
  </si>
  <si>
    <t>Condenser Area [m2]</t>
  </si>
  <si>
    <t>Door perimeter length [m]</t>
  </si>
  <si>
    <t>Ldr</t>
  </si>
  <si>
    <t>Acd</t>
  </si>
  <si>
    <t>w</t>
  </si>
  <si>
    <t>d</t>
  </si>
  <si>
    <t>h</t>
  </si>
  <si>
    <t>width [m]</t>
  </si>
  <si>
    <t>depth [m]</t>
  </si>
  <si>
    <t>height [m]</t>
  </si>
  <si>
    <t>a</t>
  </si>
  <si>
    <t>air passage height below unit [m]</t>
  </si>
  <si>
    <t>b</t>
  </si>
  <si>
    <t>height and depth compressor area [m]</t>
  </si>
  <si>
    <t>average wall thickness [m]</t>
  </si>
  <si>
    <t>t</t>
  </si>
  <si>
    <t>Tc</t>
  </si>
  <si>
    <t>compartment temperature [C]</t>
  </si>
  <si>
    <t>Ta</t>
  </si>
  <si>
    <t>ambient temperature [C]</t>
  </si>
  <si>
    <t>k</t>
  </si>
  <si>
    <t>heat conductivity wall [W/m/K]</t>
  </si>
  <si>
    <t>U wall</t>
  </si>
  <si>
    <t>heat transfer coefficient [W/m2/K]</t>
  </si>
  <si>
    <t>Ptrans</t>
  </si>
  <si>
    <t>transmission heat loss [W]</t>
  </si>
  <si>
    <t>Udoor</t>
  </si>
  <si>
    <t>heat transfer coeff. door gasket [W/mK]</t>
  </si>
  <si>
    <t xml:space="preserve">Pdoor </t>
  </si>
  <si>
    <t>door heat loss [W]</t>
  </si>
  <si>
    <t>Ploss_tot</t>
  </si>
  <si>
    <t>total heat power loss (Ptrans+Pdoor) [W]</t>
  </si>
  <si>
    <t>Eloss_tot</t>
  </si>
  <si>
    <t>annual heat loss [kWhth/a]</t>
  </si>
  <si>
    <t>dTev</t>
  </si>
  <si>
    <t>evaporator temperature difference [K]</t>
  </si>
  <si>
    <t>dTcd</t>
  </si>
  <si>
    <t>condenser temperature difference [K]</t>
  </si>
  <si>
    <t>Tev</t>
  </si>
  <si>
    <t>evaporator temperature [C]</t>
  </si>
  <si>
    <t>Tcd</t>
  </si>
  <si>
    <t>condenser temperature [C]</t>
  </si>
  <si>
    <t>Pnom</t>
  </si>
  <si>
    <t>nominal compressor cooling power [W]</t>
  </si>
  <si>
    <t>c2</t>
  </si>
  <si>
    <t>c3</t>
  </si>
  <si>
    <t>c4</t>
  </si>
  <si>
    <t>c5</t>
  </si>
  <si>
    <t>c6</t>
  </si>
  <si>
    <t>c7</t>
  </si>
  <si>
    <t>c8</t>
  </si>
  <si>
    <t>c9</t>
  </si>
  <si>
    <t>c10</t>
  </si>
  <si>
    <t>-</t>
  </si>
  <si>
    <t>c1</t>
  </si>
  <si>
    <t>COP</t>
  </si>
  <si>
    <t>Pc</t>
  </si>
  <si>
    <t>Te</t>
  </si>
  <si>
    <t>Qc</t>
  </si>
  <si>
    <t>COPnom</t>
  </si>
  <si>
    <t>COP carnot</t>
  </si>
  <si>
    <t>nominal at -23.4/54.4 (subcooling 32.2) [-]</t>
  </si>
  <si>
    <t>P</t>
  </si>
  <si>
    <t>Cooling power</t>
  </si>
  <si>
    <t>Pratio</t>
  </si>
  <si>
    <t>Ratio Pc/Pcnom</t>
  </si>
  <si>
    <t>Load factor</t>
  </si>
  <si>
    <t>Ratio of heat load to cooling power</t>
  </si>
  <si>
    <t>Cycling losses</t>
  </si>
  <si>
    <t>Part load losses  (in % COP)</t>
  </si>
  <si>
    <t>COP at actual Tev and Tcd</t>
  </si>
  <si>
    <t>COP ratio</t>
  </si>
  <si>
    <t>Ratio COP/ COPnom</t>
  </si>
  <si>
    <t>COP cyc</t>
  </si>
  <si>
    <t xml:space="preserve">avg COP at actual Tev and Tcd </t>
  </si>
  <si>
    <t>Eaux</t>
  </si>
  <si>
    <t>AE</t>
  </si>
  <si>
    <t>electricity CPU and possible fan [kWh/a]</t>
  </si>
  <si>
    <t>annual electricity consumption [kWh/a]</t>
  </si>
  <si>
    <t>q-model</t>
  </si>
  <si>
    <t>Model at Ta=25 C [kWh/dm3]</t>
  </si>
  <si>
    <t>q-A+</t>
  </si>
  <si>
    <t>A+ level in [kWh/dm3]</t>
  </si>
  <si>
    <t>difference q-model vs q-A+</t>
  </si>
  <si>
    <t>As listed in interim report VHK</t>
  </si>
  <si>
    <t>Category 1</t>
  </si>
  <si>
    <t>q-A++</t>
  </si>
  <si>
    <t>A++ level in [kWh/dm3]</t>
  </si>
  <si>
    <t>Compressor capacity a function of volume</t>
  </si>
  <si>
    <t>EEI</t>
  </si>
  <si>
    <t>M</t>
  </si>
  <si>
    <t>N</t>
  </si>
  <si>
    <t>SAE</t>
  </si>
  <si>
    <t>Category 8</t>
  </si>
  <si>
    <t>Modifications</t>
  </si>
  <si>
    <t>CECED modified</t>
  </si>
  <si>
    <t>Regression error</t>
  </si>
  <si>
    <t>Category 7</t>
  </si>
  <si>
    <t>standard annual electricity consumption [kWh/a]</t>
  </si>
  <si>
    <t>No thicker insulation then  10 cm</t>
  </si>
  <si>
    <t>A++ line</t>
  </si>
  <si>
    <t>Ratio Vfresh</t>
  </si>
  <si>
    <t>No thicker insulation then  7 cm</t>
  </si>
  <si>
    <t>Appliance 4 reduced width to 0.7 m</t>
  </si>
  <si>
    <t>Regression q-value  as proposed in report</t>
  </si>
  <si>
    <t>rc fresh</t>
  </si>
  <si>
    <t>rc frozen</t>
  </si>
  <si>
    <t>Cc fresh</t>
  </si>
  <si>
    <t>Cc frozen</t>
  </si>
  <si>
    <t>qref</t>
  </si>
  <si>
    <t>ratio AE / SAE</t>
  </si>
  <si>
    <t>Final q-ref relation proposed</t>
  </si>
  <si>
    <t>Auto Defrost</t>
  </si>
  <si>
    <t>Build In</t>
  </si>
  <si>
    <t>Difference with q-model</t>
  </si>
  <si>
    <t>M fresh</t>
  </si>
  <si>
    <t>Mfrozen</t>
  </si>
  <si>
    <t>Nfresh</t>
  </si>
  <si>
    <t>Nfrozen</t>
  </si>
  <si>
    <t>Combi, multiplier rc</t>
  </si>
  <si>
    <t>Combi constant</t>
  </si>
  <si>
    <t>Volume corrected</t>
  </si>
  <si>
    <t>Area corrected</t>
  </si>
  <si>
    <t>r equivalent</t>
  </si>
  <si>
    <t>Ploss_tot_spec</t>
  </si>
  <si>
    <t>Current M value</t>
  </si>
  <si>
    <t>Current N value</t>
  </si>
  <si>
    <t>4A</t>
  </si>
  <si>
    <t>Wall thickness reduced for two largest appliances</t>
  </si>
  <si>
    <t>4B</t>
  </si>
  <si>
    <t>average wall thickness from data base [m]</t>
  </si>
  <si>
    <t>Cells in blue font are user input parameters</t>
  </si>
  <si>
    <t>electricity CPU and possible fan [W]</t>
  </si>
  <si>
    <t>U cond</t>
  </si>
  <si>
    <t>Check on condenser heat transfer [W/m2/K]</t>
  </si>
  <si>
    <t>Fresh</t>
  </si>
  <si>
    <t>Frozen</t>
  </si>
  <si>
    <t>Actual</t>
  </si>
  <si>
    <t>Category</t>
  </si>
  <si>
    <t>Built in</t>
  </si>
  <si>
    <t>Door</t>
  </si>
  <si>
    <t>Combi</t>
  </si>
  <si>
    <t>Nc</t>
  </si>
  <si>
    <t>Mc</t>
  </si>
  <si>
    <t>Target t</t>
  </si>
  <si>
    <t>rc</t>
  </si>
  <si>
    <t>Climate class</t>
  </si>
  <si>
    <t>Chill</t>
  </si>
  <si>
    <t>Ratio of SAE</t>
  </si>
  <si>
    <t>Vfrozen</t>
  </si>
  <si>
    <t>SAE Actual</t>
  </si>
  <si>
    <t>Combi-factor Fresh</t>
  </si>
  <si>
    <t>Combi factor frozen</t>
  </si>
  <si>
    <t>q</t>
  </si>
  <si>
    <t>Ratio</t>
  </si>
  <si>
    <t>Vfresh</t>
  </si>
  <si>
    <t>Title</t>
  </si>
  <si>
    <t>Cc</t>
  </si>
  <si>
    <t>Current M and N factors</t>
  </si>
  <si>
    <t>Current</t>
  </si>
  <si>
    <t>Proposed model</t>
  </si>
  <si>
    <t>Delta-T condenser increased</t>
  </si>
  <si>
    <t>Tevaporator set</t>
  </si>
  <si>
    <t>dT condenser reduced</t>
  </si>
  <si>
    <t>Analysis to find a q-ref formula using combi factors</t>
  </si>
  <si>
    <t>TotVol ?</t>
  </si>
  <si>
    <t>Cat 7, constant fresh food ratio</t>
  </si>
  <si>
    <t>specific total heat loss [W/m3]</t>
  </si>
  <si>
    <t>hs</t>
  </si>
  <si>
    <t>height level separator (mid position) [m]</t>
  </si>
  <si>
    <t>Volume separator [m3]</t>
  </si>
  <si>
    <t>Volume fresh food [m3]</t>
  </si>
  <si>
    <t>Volume frozen food [m3]</t>
  </si>
  <si>
    <t>Area fresh food [m2]</t>
  </si>
  <si>
    <t>Area frozen food [m2]</t>
  </si>
  <si>
    <t>Ratio fresh/total [-]</t>
  </si>
  <si>
    <t>wall thickness fresh food [m]</t>
  </si>
  <si>
    <t>Ratio wall thickness fresh</t>
  </si>
  <si>
    <t>wall thickness frozen food [m]</t>
  </si>
  <si>
    <t>Run solver to set all fresh food volume ratio's</t>
  </si>
  <si>
    <t>model for combi-heat load split per compartment</t>
  </si>
  <si>
    <t>Cat 7, Pantry + Freezer</t>
  </si>
  <si>
    <t>Cells with this background color are modified compared to VHK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</si>
</sst>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
    <numFmt numFmtId="167" formatCode="0.0%"/>
    <numFmt numFmtId="168" formatCode="0.0E+00"/>
  </numFmts>
  <fonts count="10" x14ac:knownFonts="1">
    <font>
      <sz val="11"/>
      <color theme="1"/>
      <name val="Calibri"/>
      <family val="2"/>
      <scheme val="minor"/>
    </font>
    <font>
      <sz val="11"/>
      <color rgb="FF0000FF"/>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
      <b/>
      <sz val="16"/>
      <color rgb="FFC00000"/>
      <name val="Calibri"/>
      <family val="2"/>
      <scheme val="minor"/>
    </font>
    <font>
      <sz val="11"/>
      <color rgb="FF0070C0"/>
      <name val="Calibri"/>
      <family val="2"/>
      <scheme val="minor"/>
    </font>
    <font>
      <sz val="11"/>
      <color rgb="FF00B0F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DAEEF3"/>
        <bgColor indexed="64"/>
      </patternFill>
    </fill>
    <fill>
      <patternFill patternType="solid">
        <fgColor rgb="FFF2DCDB"/>
        <bgColor indexed="64"/>
      </patternFill>
    </fill>
    <fill>
      <patternFill patternType="solid">
        <fgColor rgb="FFFDE9D9"/>
        <bgColor indexed="64"/>
      </patternFill>
    </fill>
  </fills>
  <borders count="1">
    <border>
      <left/>
      <right/>
      <top/>
      <bottom/>
      <diagonal/>
    </border>
  </borders>
  <cellStyleXfs count="1">
    <xf numFmtId="0" fontId="0" fillId="0" borderId="0"/>
  </cellStyleXfs>
  <cellXfs count="67">
    <xf numFmtId="0" fontId="0" fillId="0" borderId="0" xfId="0"/>
    <xf numFmtId="0" fontId="1" fillId="0" borderId="0" xfId="0" applyFont="1"/>
    <xf numFmtId="164" fontId="0" fillId="0" borderId="0" xfId="0" applyNumberFormat="1"/>
    <xf numFmtId="165" fontId="0" fillId="0" borderId="0" xfId="0" applyNumberFormat="1"/>
    <xf numFmtId="166" fontId="0" fillId="0" borderId="0" xfId="0" applyNumberFormat="1"/>
    <xf numFmtId="2" fontId="0" fillId="0" borderId="0" xfId="0" applyNumberFormat="1"/>
    <xf numFmtId="0" fontId="0" fillId="0" borderId="0" xfId="0" applyAlignment="1">
      <alignment horizontal="right"/>
    </xf>
    <xf numFmtId="167" fontId="0" fillId="0" borderId="0" xfId="0" applyNumberFormat="1"/>
    <xf numFmtId="166" fontId="2" fillId="0" borderId="0" xfId="0" applyNumberFormat="1" applyFont="1"/>
    <xf numFmtId="166" fontId="0" fillId="0" borderId="0" xfId="0" applyNumberFormat="1" applyFont="1"/>
    <xf numFmtId="165" fontId="2" fillId="0" borderId="0" xfId="0" applyNumberFormat="1" applyFont="1"/>
    <xf numFmtId="0" fontId="0" fillId="0" borderId="0" xfId="0" quotePrefix="1"/>
    <xf numFmtId="0" fontId="0" fillId="0" borderId="0" xfId="0" applyAlignment="1">
      <alignment horizontal="left"/>
    </xf>
    <xf numFmtId="0" fontId="2" fillId="0" borderId="0" xfId="0" applyFont="1"/>
    <xf numFmtId="0" fontId="0" fillId="0" borderId="0" xfId="0" applyFont="1"/>
    <xf numFmtId="0" fontId="0" fillId="2" borderId="0" xfId="0" applyFill="1"/>
    <xf numFmtId="0" fontId="0" fillId="3" borderId="0" xfId="0" applyFill="1"/>
    <xf numFmtId="0" fontId="0" fillId="4" borderId="0" xfId="0" applyFill="1"/>
    <xf numFmtId="0" fontId="0" fillId="0" borderId="0" xfId="0" applyFill="1"/>
    <xf numFmtId="0" fontId="0" fillId="0" borderId="0" xfId="0" applyFill="1" applyAlignment="1">
      <alignment horizontal="right"/>
    </xf>
    <xf numFmtId="165" fontId="1" fillId="0" borderId="0" xfId="0" applyNumberFormat="1" applyFont="1"/>
    <xf numFmtId="164" fontId="1" fillId="0" borderId="0" xfId="0" applyNumberFormat="1" applyFont="1"/>
    <xf numFmtId="0" fontId="0" fillId="6" borderId="0" xfId="0" applyFill="1"/>
    <xf numFmtId="164" fontId="0" fillId="6" borderId="0" xfId="0" applyNumberFormat="1" applyFill="1"/>
    <xf numFmtId="166" fontId="0" fillId="6" borderId="0" xfId="0" applyNumberFormat="1" applyFill="1"/>
    <xf numFmtId="165" fontId="0" fillId="6" borderId="0" xfId="0" applyNumberFormat="1" applyFill="1"/>
    <xf numFmtId="0" fontId="1" fillId="6" borderId="0" xfId="0" applyFont="1" applyFill="1"/>
    <xf numFmtId="2" fontId="0" fillId="0" borderId="0" xfId="0" applyNumberFormat="1" applyFill="1"/>
    <xf numFmtId="167" fontId="0" fillId="0" borderId="0" xfId="0" applyNumberFormat="1" applyFill="1"/>
    <xf numFmtId="165" fontId="5" fillId="0" borderId="0" xfId="0" applyNumberFormat="1" applyFont="1"/>
    <xf numFmtId="166" fontId="6" fillId="0" borderId="0" xfId="0" applyNumberFormat="1" applyFont="1"/>
    <xf numFmtId="0" fontId="6" fillId="0" borderId="0" xfId="0" applyFont="1"/>
    <xf numFmtId="0" fontId="7" fillId="2" borderId="0" xfId="0" applyFont="1" applyFill="1"/>
    <xf numFmtId="0" fontId="0" fillId="7" borderId="0" xfId="0" applyFill="1"/>
    <xf numFmtId="0" fontId="7" fillId="7" borderId="0" xfId="0" applyFont="1" applyFill="1"/>
    <xf numFmtId="0" fontId="0" fillId="8" borderId="0" xfId="0" applyFill="1"/>
    <xf numFmtId="0" fontId="7" fillId="8" borderId="0" xfId="0" applyFont="1" applyFill="1"/>
    <xf numFmtId="0" fontId="0" fillId="0" borderId="0" xfId="0" quotePrefix="1" applyFill="1" applyAlignment="1">
      <alignment horizontal="right"/>
    </xf>
    <xf numFmtId="164" fontId="0" fillId="0" borderId="0" xfId="0" applyNumberFormat="1" applyFill="1"/>
    <xf numFmtId="166" fontId="0" fillId="0" borderId="0" xfId="0" applyNumberFormat="1" applyFill="1"/>
    <xf numFmtId="165" fontId="0" fillId="0" borderId="0" xfId="0" applyNumberFormat="1" applyFill="1"/>
    <xf numFmtId="0" fontId="1" fillId="0" borderId="0" xfId="0" applyFont="1" applyFill="1"/>
    <xf numFmtId="165" fontId="1" fillId="0" borderId="0" xfId="0" applyNumberFormat="1" applyFont="1" applyFill="1"/>
    <xf numFmtId="166" fontId="6" fillId="0" borderId="0" xfId="0" applyNumberFormat="1" applyFont="1" applyFill="1"/>
    <xf numFmtId="0" fontId="6" fillId="0" borderId="0" xfId="0" applyFont="1" applyFill="1"/>
    <xf numFmtId="166" fontId="2" fillId="0" borderId="0" xfId="0" applyNumberFormat="1" applyFont="1" applyFill="1"/>
    <xf numFmtId="166" fontId="0" fillId="0" borderId="0" xfId="0" applyNumberFormat="1" applyFont="1" applyFill="1"/>
    <xf numFmtId="165" fontId="2" fillId="0" borderId="0" xfId="0" applyNumberFormat="1" applyFont="1" applyFill="1"/>
    <xf numFmtId="164" fontId="0" fillId="9" borderId="0" xfId="0" applyNumberFormat="1" applyFill="1"/>
    <xf numFmtId="166" fontId="0" fillId="9" borderId="0" xfId="0" applyNumberFormat="1" applyFill="1"/>
    <xf numFmtId="165" fontId="0" fillId="9" borderId="0" xfId="0" applyNumberFormat="1" applyFill="1"/>
    <xf numFmtId="0" fontId="1" fillId="9" borderId="0" xfId="0" applyFont="1" applyFill="1"/>
    <xf numFmtId="165" fontId="5" fillId="0" borderId="0" xfId="0" applyNumberFormat="1" applyFont="1" applyFill="1"/>
    <xf numFmtId="165" fontId="1" fillId="9" borderId="0" xfId="0" applyNumberFormat="1" applyFont="1" applyFill="1"/>
    <xf numFmtId="165" fontId="1" fillId="6" borderId="0" xfId="0" applyNumberFormat="1" applyFont="1" applyFill="1"/>
    <xf numFmtId="0" fontId="0" fillId="9" borderId="0" xfId="0" applyFill="1"/>
    <xf numFmtId="2" fontId="5" fillId="0" borderId="0" xfId="0" applyNumberFormat="1" applyFont="1"/>
    <xf numFmtId="0" fontId="2" fillId="0" borderId="0" xfId="0" applyFont="1" applyAlignment="1">
      <alignment horizontal="right"/>
    </xf>
    <xf numFmtId="0" fontId="8" fillId="0" borderId="0" xfId="0" applyFont="1"/>
    <xf numFmtId="0" fontId="5" fillId="5" borderId="0" xfId="0" applyFont="1" applyFill="1"/>
    <xf numFmtId="0" fontId="8" fillId="5" borderId="0" xfId="0" applyFont="1" applyFill="1"/>
    <xf numFmtId="0" fontId="9" fillId="0" borderId="0" xfId="0" applyFont="1"/>
    <xf numFmtId="2" fontId="1" fillId="9" borderId="0" xfId="0" applyNumberFormat="1" applyFont="1" applyFill="1"/>
    <xf numFmtId="168" fontId="0" fillId="0" borderId="0" xfId="0" applyNumberFormat="1"/>
    <xf numFmtId="0" fontId="2" fillId="3" borderId="0" xfId="0" applyFont="1" applyFill="1"/>
    <xf numFmtId="2" fontId="6" fillId="0" borderId="0" xfId="0" applyNumberFormat="1" applyFont="1"/>
    <xf numFmtId="2" fontId="2" fillId="0" borderId="0" xfId="0" applyNumberFormat="1" applyFont="1"/>
  </cellXfs>
  <cellStyles count="1">
    <cellStyle name="Normal" xfId="0" builtinId="0"/>
  </cellStyles>
  <dxfs count="2">
    <dxf>
      <font>
        <color rgb="FFFF0000"/>
      </font>
    </dxf>
    <dxf>
      <font>
        <color rgb="FFFF0000"/>
      </font>
    </dxf>
  </dxfs>
  <tableStyles count="0" defaultTableStyle="TableStyleMedium2" defaultPivotStyle="PivotStyleLight16"/>
  <colors>
    <mruColors>
      <color rgb="FF0000FF"/>
      <color rgb="FFFDE9D9"/>
      <color rgb="FFF2DCDB"/>
      <color rgb="FFDA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Cat 1</a:t>
            </a:r>
          </a:p>
        </c:rich>
      </c:tx>
      <c:overlay val="1"/>
    </c:title>
    <c:autoTitleDeleted val="0"/>
    <c:plotArea>
      <c:layout>
        <c:manualLayout>
          <c:layoutTarget val="inner"/>
          <c:xMode val="edge"/>
          <c:yMode val="edge"/>
          <c:x val="0.16607195975503061"/>
          <c:y val="0.12503716562988684"/>
          <c:w val="0.74727028141983387"/>
          <c:h val="0.73430218860437724"/>
        </c:manualLayout>
      </c:layout>
      <c:scatterChart>
        <c:scatterStyle val="lineMarker"/>
        <c:varyColors val="0"/>
        <c:ser>
          <c:idx val="0"/>
          <c:order val="0"/>
          <c:tx>
            <c:v>VHK</c:v>
          </c:tx>
          <c:spPr>
            <a:ln w="28575">
              <a:noFill/>
            </a:ln>
          </c:spPr>
          <c:trendline>
            <c:spPr>
              <a:ln>
                <a:solidFill>
                  <a:schemeClr val="accent1"/>
                </a:solidFill>
              </a:ln>
            </c:spPr>
            <c:trendlineType val="linear"/>
            <c:dispRSqr val="1"/>
            <c:dispEq val="1"/>
            <c:trendlineLbl>
              <c:layout>
                <c:manualLayout>
                  <c:x val="0.11853759737891534"/>
                  <c:y val="0.10822135422048622"/>
                </c:manualLayout>
              </c:layout>
              <c:numFmt formatCode="General" sourceLinked="0"/>
            </c:trendlineLbl>
          </c:trendline>
          <c:xVal>
            <c:numRef>
              <c:f>Model!$C$6:$F$6</c:f>
              <c:numCache>
                <c:formatCode>0.0</c:formatCode>
                <c:ptCount val="4"/>
                <c:pt idx="0">
                  <c:v>41.876711999999998</c:v>
                </c:pt>
                <c:pt idx="1">
                  <c:v>107.35179199999997</c:v>
                </c:pt>
                <c:pt idx="2">
                  <c:v>183.80998400000004</c:v>
                </c:pt>
                <c:pt idx="3">
                  <c:v>331.48799999999994</c:v>
                </c:pt>
              </c:numCache>
            </c:numRef>
          </c:xVal>
          <c:yVal>
            <c:numRef>
              <c:f>Model!$C$53:$F$53</c:f>
              <c:numCache>
                <c:formatCode>0.0</c:formatCode>
                <c:ptCount val="4"/>
                <c:pt idx="0">
                  <c:v>76.725358095500525</c:v>
                </c:pt>
                <c:pt idx="1">
                  <c:v>83.246870333321695</c:v>
                </c:pt>
                <c:pt idx="2">
                  <c:v>89.384578662197001</c:v>
                </c:pt>
                <c:pt idx="3">
                  <c:v>105.76401778063324</c:v>
                </c:pt>
              </c:numCache>
            </c:numRef>
          </c:yVal>
          <c:smooth val="0"/>
        </c:ser>
        <c:ser>
          <c:idx val="2"/>
          <c:order val="1"/>
          <c:tx>
            <c:v>A++</c:v>
          </c:tx>
          <c:spPr>
            <a:ln w="28575">
              <a:solidFill>
                <a:srgbClr val="00B050"/>
              </a:solidFill>
            </a:ln>
          </c:spPr>
          <c:marker>
            <c:symbol val="none"/>
          </c:marker>
          <c:xVal>
            <c:numRef>
              <c:f>Model!$C$70:$C$71</c:f>
              <c:numCache>
                <c:formatCode>General</c:formatCode>
                <c:ptCount val="2"/>
                <c:pt idx="0">
                  <c:v>0</c:v>
                </c:pt>
                <c:pt idx="1">
                  <c:v>400</c:v>
                </c:pt>
              </c:numCache>
            </c:numRef>
          </c:xVal>
          <c:yVal>
            <c:numRef>
              <c:f>Model!$D$70:$D$71</c:f>
              <c:numCache>
                <c:formatCode>General</c:formatCode>
                <c:ptCount val="2"/>
                <c:pt idx="0">
                  <c:v>80.850000000000009</c:v>
                </c:pt>
                <c:pt idx="1">
                  <c:v>111.60599999999999</c:v>
                </c:pt>
              </c:numCache>
            </c:numRef>
          </c:yVal>
          <c:smooth val="0"/>
        </c:ser>
        <c:ser>
          <c:idx val="1"/>
          <c:order val="2"/>
          <c:tx>
            <c:v>CECED</c:v>
          </c:tx>
          <c:spPr>
            <a:ln w="28575">
              <a:noFill/>
            </a:ln>
          </c:spPr>
          <c:trendline>
            <c:spPr>
              <a:ln>
                <a:solidFill>
                  <a:schemeClr val="accent2">
                    <a:lumMod val="75000"/>
                  </a:schemeClr>
                </a:solidFill>
              </a:ln>
            </c:spPr>
            <c:trendlineType val="linear"/>
            <c:dispRSqr val="0"/>
            <c:dispEq val="1"/>
            <c:trendlineLbl>
              <c:layout>
                <c:manualLayout>
                  <c:x val="-5.1545925779778665E-2"/>
                  <c:y val="-2.6732524576160262E-2"/>
                </c:manualLayout>
              </c:layout>
              <c:numFmt formatCode="General" sourceLinked="0"/>
            </c:trendlineLbl>
          </c:trendline>
          <c:xVal>
            <c:numRef>
              <c:f>Model!$C$6:$F$6</c:f>
              <c:numCache>
                <c:formatCode>0.0</c:formatCode>
                <c:ptCount val="4"/>
                <c:pt idx="0">
                  <c:v>41.876711999999998</c:v>
                </c:pt>
                <c:pt idx="1">
                  <c:v>107.35179199999997</c:v>
                </c:pt>
                <c:pt idx="2">
                  <c:v>183.80998400000004</c:v>
                </c:pt>
                <c:pt idx="3">
                  <c:v>331.48799999999994</c:v>
                </c:pt>
              </c:numCache>
            </c:numRef>
          </c:xVal>
          <c:yVal>
            <c:numRef>
              <c:f>Model!$H$53:$K$53</c:f>
              <c:numCache>
                <c:formatCode>0.0</c:formatCode>
                <c:ptCount val="4"/>
                <c:pt idx="0">
                  <c:v>77.557627783728293</c:v>
                </c:pt>
                <c:pt idx="1">
                  <c:v>84.415697971893522</c:v>
                </c:pt>
                <c:pt idx="2">
                  <c:v>95.32677980584215</c:v>
                </c:pt>
                <c:pt idx="3">
                  <c:v>114.46499091215482</c:v>
                </c:pt>
              </c:numCache>
            </c:numRef>
          </c:yVal>
          <c:smooth val="0"/>
        </c:ser>
        <c:dLbls>
          <c:showLegendKey val="0"/>
          <c:showVal val="0"/>
          <c:showCatName val="0"/>
          <c:showSerName val="0"/>
          <c:showPercent val="0"/>
          <c:showBubbleSize val="0"/>
        </c:dLbls>
        <c:axId val="164801536"/>
        <c:axId val="164816000"/>
      </c:scatterChart>
      <c:valAx>
        <c:axId val="164801536"/>
        <c:scaling>
          <c:orientation val="minMax"/>
          <c:max val="400"/>
          <c:min val="0"/>
        </c:scaling>
        <c:delete val="0"/>
        <c:axPos val="b"/>
        <c:title>
          <c:tx>
            <c:rich>
              <a:bodyPr/>
              <a:lstStyle/>
              <a:p>
                <a:pPr>
                  <a:defRPr/>
                </a:pPr>
                <a:r>
                  <a:rPr lang="en-US"/>
                  <a:t>Volume [dm3]</a:t>
                </a:r>
              </a:p>
            </c:rich>
          </c:tx>
          <c:overlay val="0"/>
        </c:title>
        <c:numFmt formatCode="0.0" sourceLinked="1"/>
        <c:majorTickMark val="out"/>
        <c:minorTickMark val="none"/>
        <c:tickLblPos val="nextTo"/>
        <c:crossAx val="164816000"/>
        <c:crosses val="autoZero"/>
        <c:crossBetween val="midCat"/>
      </c:valAx>
      <c:valAx>
        <c:axId val="164816000"/>
        <c:scaling>
          <c:orientation val="minMax"/>
          <c:min val="0"/>
        </c:scaling>
        <c:delete val="0"/>
        <c:axPos val="l"/>
        <c:majorGridlines>
          <c:spPr>
            <a:ln>
              <a:solidFill>
                <a:schemeClr val="bg1">
                  <a:lumMod val="75000"/>
                </a:schemeClr>
              </a:solidFill>
            </a:ln>
          </c:spPr>
        </c:majorGridlines>
        <c:title>
          <c:tx>
            <c:rich>
              <a:bodyPr rot="-5400000" vert="horz"/>
              <a:lstStyle/>
              <a:p>
                <a:pPr>
                  <a:defRPr/>
                </a:pPr>
                <a:r>
                  <a:rPr lang="en-US"/>
                  <a:t>Annual Energy Consumption [kWh/a]</a:t>
                </a:r>
              </a:p>
            </c:rich>
          </c:tx>
          <c:overlay val="0"/>
        </c:title>
        <c:numFmt formatCode="0.0" sourceLinked="1"/>
        <c:majorTickMark val="out"/>
        <c:minorTickMark val="none"/>
        <c:tickLblPos val="nextTo"/>
        <c:crossAx val="164801536"/>
        <c:crosses val="autoZero"/>
        <c:crossBetween val="midCat"/>
      </c:valAx>
    </c:plotArea>
    <c:legend>
      <c:legendPos val="r"/>
      <c:layout>
        <c:manualLayout>
          <c:xMode val="edge"/>
          <c:yMode val="edge"/>
          <c:x val="0.61759977041594172"/>
          <c:y val="0.50977328621323914"/>
          <c:w val="0.27306082183918357"/>
          <c:h val="0.31641143282286566"/>
        </c:manualLayout>
      </c:layout>
      <c:overlay val="0"/>
      <c:spPr>
        <a:solidFill>
          <a:schemeClr val="bg1"/>
        </a:solidFill>
        <a:ln>
          <a:solidFill>
            <a:schemeClr val="bg1">
              <a:lumMod val="75000"/>
            </a:schemeClr>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Cat 8</a:t>
            </a:r>
          </a:p>
        </c:rich>
      </c:tx>
      <c:overlay val="1"/>
    </c:title>
    <c:autoTitleDeleted val="0"/>
    <c:plotArea>
      <c:layout>
        <c:manualLayout>
          <c:layoutTarget val="inner"/>
          <c:xMode val="edge"/>
          <c:yMode val="edge"/>
          <c:x val="0.16607195975503061"/>
          <c:y val="0.13190744577980384"/>
          <c:w val="0.75812422450151462"/>
          <c:h val="0.7311341345489708"/>
        </c:manualLayout>
      </c:layout>
      <c:scatterChart>
        <c:scatterStyle val="lineMarker"/>
        <c:varyColors val="0"/>
        <c:ser>
          <c:idx val="0"/>
          <c:order val="0"/>
          <c:tx>
            <c:v>VHK</c:v>
          </c:tx>
          <c:spPr>
            <a:ln w="28575">
              <a:noFill/>
            </a:ln>
          </c:spPr>
          <c:trendline>
            <c:spPr>
              <a:ln>
                <a:solidFill>
                  <a:schemeClr val="accent1"/>
                </a:solidFill>
              </a:ln>
            </c:spPr>
            <c:trendlineType val="linear"/>
            <c:dispRSqr val="1"/>
            <c:dispEq val="1"/>
            <c:trendlineLbl>
              <c:layout>
                <c:manualLayout>
                  <c:x val="0.33332817524670733"/>
                  <c:y val="-1.0042547313164802E-2"/>
                </c:manualLayout>
              </c:layout>
              <c:numFmt formatCode="General" sourceLinked="0"/>
            </c:trendlineLbl>
          </c:trendline>
          <c:xVal>
            <c:numRef>
              <c:f>Model!$R$6:$U$6</c:f>
              <c:numCache>
                <c:formatCode>0.0</c:formatCode>
                <c:ptCount val="4"/>
                <c:pt idx="0">
                  <c:v>82</c:v>
                </c:pt>
                <c:pt idx="1">
                  <c:v>110.79300000000005</c:v>
                </c:pt>
                <c:pt idx="2">
                  <c:v>225.81200000000001</c:v>
                </c:pt>
                <c:pt idx="3">
                  <c:v>354.99599999999998</c:v>
                </c:pt>
              </c:numCache>
            </c:numRef>
          </c:xVal>
          <c:yVal>
            <c:numRef>
              <c:f>Model!$R$53:$U$53</c:f>
              <c:numCache>
                <c:formatCode>0.0</c:formatCode>
                <c:ptCount val="4"/>
                <c:pt idx="0">
                  <c:v>139.02494846183114</c:v>
                </c:pt>
                <c:pt idx="1">
                  <c:v>140.10470044164202</c:v>
                </c:pt>
                <c:pt idx="2">
                  <c:v>180.87462739426104</c:v>
                </c:pt>
                <c:pt idx="3">
                  <c:v>196.08891857495615</c:v>
                </c:pt>
              </c:numCache>
            </c:numRef>
          </c:yVal>
          <c:smooth val="0"/>
        </c:ser>
        <c:ser>
          <c:idx val="2"/>
          <c:order val="1"/>
          <c:tx>
            <c:v>A++</c:v>
          </c:tx>
          <c:spPr>
            <a:ln w="28575">
              <a:solidFill>
                <a:srgbClr val="00B050"/>
              </a:solidFill>
            </a:ln>
          </c:spPr>
          <c:marker>
            <c:symbol val="none"/>
          </c:marker>
          <c:xVal>
            <c:numRef>
              <c:f>Model!$R$70:$R$71</c:f>
              <c:numCache>
                <c:formatCode>General</c:formatCode>
                <c:ptCount val="2"/>
                <c:pt idx="0">
                  <c:v>0</c:v>
                </c:pt>
                <c:pt idx="1">
                  <c:v>500</c:v>
                </c:pt>
              </c:numCache>
            </c:numRef>
          </c:xVal>
          <c:yVal>
            <c:numRef>
              <c:f>Model!$S$70:$S$71</c:f>
              <c:numCache>
                <c:formatCode>General</c:formatCode>
                <c:ptCount val="2"/>
                <c:pt idx="0">
                  <c:v>103.95</c:v>
                </c:pt>
                <c:pt idx="1">
                  <c:v>295.16025000000002</c:v>
                </c:pt>
              </c:numCache>
            </c:numRef>
          </c:yVal>
          <c:smooth val="0"/>
        </c:ser>
        <c:ser>
          <c:idx val="1"/>
          <c:order val="2"/>
          <c:tx>
            <c:v>CECED</c:v>
          </c:tx>
          <c:spPr>
            <a:ln w="28575">
              <a:noFill/>
            </a:ln>
          </c:spPr>
          <c:trendline>
            <c:spPr>
              <a:ln>
                <a:solidFill>
                  <a:schemeClr val="accent2">
                    <a:lumMod val="75000"/>
                  </a:schemeClr>
                </a:solidFill>
              </a:ln>
            </c:spPr>
            <c:trendlineType val="linear"/>
            <c:dispRSqr val="0"/>
            <c:dispEq val="1"/>
            <c:trendlineLbl>
              <c:layout>
                <c:manualLayout>
                  <c:x val="-6.0088812149899029E-2"/>
                  <c:y val="-4.8925261391506387E-2"/>
                </c:manualLayout>
              </c:layout>
              <c:numFmt formatCode="General" sourceLinked="0"/>
            </c:trendlineLbl>
          </c:trendline>
          <c:xVal>
            <c:numRef>
              <c:f>Model!$W$6:$Z$6</c:f>
              <c:numCache>
                <c:formatCode>0.0</c:formatCode>
                <c:ptCount val="4"/>
                <c:pt idx="0">
                  <c:v>88.000000000000014</c:v>
                </c:pt>
                <c:pt idx="1">
                  <c:v>117.99300000000004</c:v>
                </c:pt>
                <c:pt idx="2">
                  <c:v>263.99999999999994</c:v>
                </c:pt>
                <c:pt idx="3">
                  <c:v>442.49999999999994</c:v>
                </c:pt>
              </c:numCache>
            </c:numRef>
          </c:xVal>
          <c:yVal>
            <c:numRef>
              <c:f>Model!$W$53:$Z$53</c:f>
              <c:numCache>
                <c:formatCode>0.0</c:formatCode>
                <c:ptCount val="4"/>
                <c:pt idx="0">
                  <c:v>141.08177939027325</c:v>
                </c:pt>
                <c:pt idx="1">
                  <c:v>147.80163715150931</c:v>
                </c:pt>
                <c:pt idx="2">
                  <c:v>212.76608059349226</c:v>
                </c:pt>
                <c:pt idx="3">
                  <c:v>250.03319885466843</c:v>
                </c:pt>
              </c:numCache>
            </c:numRef>
          </c:yVal>
          <c:smooth val="0"/>
        </c:ser>
        <c:dLbls>
          <c:showLegendKey val="0"/>
          <c:showVal val="0"/>
          <c:showCatName val="0"/>
          <c:showSerName val="0"/>
          <c:showPercent val="0"/>
          <c:showBubbleSize val="0"/>
        </c:dLbls>
        <c:axId val="167865344"/>
        <c:axId val="167871616"/>
      </c:scatterChart>
      <c:valAx>
        <c:axId val="167865344"/>
        <c:scaling>
          <c:orientation val="minMax"/>
        </c:scaling>
        <c:delete val="0"/>
        <c:axPos val="b"/>
        <c:title>
          <c:tx>
            <c:rich>
              <a:bodyPr/>
              <a:lstStyle/>
              <a:p>
                <a:pPr>
                  <a:defRPr/>
                </a:pPr>
                <a:r>
                  <a:rPr lang="en-US"/>
                  <a:t>Volume [dm3]</a:t>
                </a:r>
              </a:p>
            </c:rich>
          </c:tx>
          <c:overlay val="0"/>
        </c:title>
        <c:numFmt formatCode="0.0" sourceLinked="1"/>
        <c:majorTickMark val="out"/>
        <c:minorTickMark val="none"/>
        <c:tickLblPos val="nextTo"/>
        <c:crossAx val="167871616"/>
        <c:crosses val="autoZero"/>
        <c:crossBetween val="midCat"/>
      </c:valAx>
      <c:valAx>
        <c:axId val="167871616"/>
        <c:scaling>
          <c:orientation val="minMax"/>
          <c:min val="0"/>
        </c:scaling>
        <c:delete val="0"/>
        <c:axPos val="l"/>
        <c:majorGridlines>
          <c:spPr>
            <a:ln>
              <a:solidFill>
                <a:schemeClr val="bg1">
                  <a:lumMod val="75000"/>
                </a:schemeClr>
              </a:solidFill>
            </a:ln>
          </c:spPr>
        </c:majorGridlines>
        <c:title>
          <c:tx>
            <c:rich>
              <a:bodyPr rot="-5400000" vert="horz"/>
              <a:lstStyle/>
              <a:p>
                <a:pPr>
                  <a:defRPr/>
                </a:pPr>
                <a:r>
                  <a:rPr lang="en-US"/>
                  <a:t>Annual Energy Consumption [kWh/a]</a:t>
                </a:r>
              </a:p>
            </c:rich>
          </c:tx>
          <c:overlay val="0"/>
        </c:title>
        <c:numFmt formatCode="0.0" sourceLinked="1"/>
        <c:majorTickMark val="out"/>
        <c:minorTickMark val="none"/>
        <c:tickLblPos val="nextTo"/>
        <c:crossAx val="167865344"/>
        <c:crosses val="autoZero"/>
        <c:crossBetween val="midCat"/>
      </c:valAx>
    </c:plotArea>
    <c:legend>
      <c:legendPos val="r"/>
      <c:layout>
        <c:manualLayout>
          <c:xMode val="edge"/>
          <c:yMode val="edge"/>
          <c:x val="0.67980256748919898"/>
          <c:y val="0.53085149882580474"/>
          <c:w val="0.27182251547664055"/>
          <c:h val="0.31724409448818897"/>
        </c:manualLayout>
      </c:layout>
      <c:overlay val="0"/>
      <c:spPr>
        <a:solidFill>
          <a:schemeClr val="bg1"/>
        </a:solidFill>
        <a:ln>
          <a:solidFill>
            <a:schemeClr val="bg1">
              <a:lumMod val="75000"/>
            </a:schemeClr>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Cat 7 (73/27 % Fresh/Frozen)</a:t>
            </a:r>
          </a:p>
        </c:rich>
      </c:tx>
      <c:overlay val="1"/>
    </c:title>
    <c:autoTitleDeleted val="0"/>
    <c:plotArea>
      <c:layout>
        <c:manualLayout>
          <c:layoutTarget val="inner"/>
          <c:xMode val="edge"/>
          <c:yMode val="edge"/>
          <c:x val="0.13901172869996414"/>
          <c:y val="0.12103018372703413"/>
          <c:w val="0.81761319502958807"/>
          <c:h val="0.7348183727034121"/>
        </c:manualLayout>
      </c:layout>
      <c:scatterChart>
        <c:scatterStyle val="lineMarker"/>
        <c:varyColors val="0"/>
        <c:ser>
          <c:idx val="0"/>
          <c:order val="0"/>
          <c:tx>
            <c:v>VHK</c:v>
          </c:tx>
          <c:spPr>
            <a:ln w="28575">
              <a:noFill/>
            </a:ln>
          </c:spPr>
          <c:trendline>
            <c:spPr>
              <a:ln>
                <a:solidFill>
                  <a:schemeClr val="accent1"/>
                </a:solidFill>
              </a:ln>
            </c:spPr>
            <c:trendlineType val="linear"/>
            <c:dispRSqr val="1"/>
            <c:dispEq val="1"/>
            <c:trendlineLbl>
              <c:layout>
                <c:manualLayout>
                  <c:x val="5.5763140308568437E-2"/>
                  <c:y val="8.0823097112860898E-2"/>
                </c:manualLayout>
              </c:layout>
              <c:numFmt formatCode="General" sourceLinked="0"/>
            </c:trendlineLbl>
          </c:trendline>
          <c:xVal>
            <c:numRef>
              <c:f>Model!$AG$6:$AJ$6</c:f>
              <c:numCache>
                <c:formatCode>0.0</c:formatCode>
                <c:ptCount val="4"/>
                <c:pt idx="0">
                  <c:v>168.69600000000003</c:v>
                </c:pt>
                <c:pt idx="1">
                  <c:v>199.38199999999998</c:v>
                </c:pt>
                <c:pt idx="2">
                  <c:v>344.18399999999991</c:v>
                </c:pt>
                <c:pt idx="3">
                  <c:v>660.59049999999991</c:v>
                </c:pt>
              </c:numCache>
            </c:numRef>
          </c:xVal>
          <c:yVal>
            <c:numRef>
              <c:f>Model!$AG$53:$AJ$53</c:f>
              <c:numCache>
                <c:formatCode>0.0</c:formatCode>
                <c:ptCount val="4"/>
                <c:pt idx="0">
                  <c:v>236.87077834215273</c:v>
                </c:pt>
                <c:pt idx="1">
                  <c:v>230.83725272999501</c:v>
                </c:pt>
                <c:pt idx="2">
                  <c:v>266.35963922358098</c:v>
                </c:pt>
                <c:pt idx="3">
                  <c:v>299.29345462608529</c:v>
                </c:pt>
              </c:numCache>
            </c:numRef>
          </c:yVal>
          <c:smooth val="0"/>
        </c:ser>
        <c:ser>
          <c:idx val="2"/>
          <c:order val="1"/>
          <c:tx>
            <c:v>A++</c:v>
          </c:tx>
          <c:spPr>
            <a:ln w="28575">
              <a:solidFill>
                <a:srgbClr val="00B050"/>
              </a:solidFill>
            </a:ln>
          </c:spPr>
          <c:marker>
            <c:symbol val="none"/>
          </c:marker>
          <c:xVal>
            <c:numRef>
              <c:f>Model!$AG$70:$AG$71</c:f>
              <c:numCache>
                <c:formatCode>General</c:formatCode>
                <c:ptCount val="2"/>
                <c:pt idx="0">
                  <c:v>0</c:v>
                </c:pt>
                <c:pt idx="1">
                  <c:v>700</c:v>
                </c:pt>
              </c:numCache>
            </c:numRef>
          </c:xVal>
          <c:yVal>
            <c:numRef>
              <c:f>Model!$AH$70:$AH$71</c:f>
              <c:numCache>
                <c:formatCode>General</c:formatCode>
                <c:ptCount val="2"/>
                <c:pt idx="0">
                  <c:v>99.990000000000009</c:v>
                </c:pt>
                <c:pt idx="1">
                  <c:v>382.68202500000001</c:v>
                </c:pt>
              </c:numCache>
            </c:numRef>
          </c:yVal>
          <c:smooth val="0"/>
        </c:ser>
        <c:ser>
          <c:idx val="1"/>
          <c:order val="2"/>
          <c:tx>
            <c:v>CECED</c:v>
          </c:tx>
          <c:spPr>
            <a:ln w="28575">
              <a:noFill/>
            </a:ln>
          </c:spPr>
          <c:trendline>
            <c:spPr>
              <a:ln>
                <a:solidFill>
                  <a:schemeClr val="accent2">
                    <a:lumMod val="75000"/>
                  </a:schemeClr>
                </a:solidFill>
              </a:ln>
            </c:spPr>
            <c:trendlineType val="linear"/>
            <c:dispRSqr val="0"/>
            <c:dispEq val="1"/>
            <c:trendlineLbl>
              <c:layout>
                <c:manualLayout>
                  <c:x val="-0.11184976416693301"/>
                  <c:y val="-1.7624671916010498E-2"/>
                </c:manualLayout>
              </c:layout>
              <c:numFmt formatCode="General" sourceLinked="0"/>
            </c:trendlineLbl>
          </c:trendline>
          <c:xVal>
            <c:numRef>
              <c:f>Model!$AL$6:$AO$6</c:f>
              <c:numCache>
                <c:formatCode>0.0</c:formatCode>
                <c:ptCount val="4"/>
                <c:pt idx="0">
                  <c:v>173.09600000000003</c:v>
                </c:pt>
                <c:pt idx="1">
                  <c:v>217.62300000000008</c:v>
                </c:pt>
                <c:pt idx="2">
                  <c:v>349.78399999999993</c:v>
                </c:pt>
                <c:pt idx="3">
                  <c:v>538.94399999999985</c:v>
                </c:pt>
              </c:numCache>
            </c:numRef>
          </c:xVal>
          <c:yVal>
            <c:numRef>
              <c:f>Model!$AL$53:$AO$53</c:f>
              <c:numCache>
                <c:formatCode>0.0</c:formatCode>
                <c:ptCount val="4"/>
                <c:pt idx="0">
                  <c:v>206.74811019517622</c:v>
                </c:pt>
                <c:pt idx="1">
                  <c:v>217.27314156826449</c:v>
                </c:pt>
                <c:pt idx="2">
                  <c:v>247.68483722205022</c:v>
                </c:pt>
                <c:pt idx="3">
                  <c:v>287.42055118512496</c:v>
                </c:pt>
              </c:numCache>
            </c:numRef>
          </c:yVal>
          <c:smooth val="0"/>
        </c:ser>
        <c:dLbls>
          <c:showLegendKey val="0"/>
          <c:showVal val="0"/>
          <c:showCatName val="0"/>
          <c:showSerName val="0"/>
          <c:showPercent val="0"/>
          <c:showBubbleSize val="0"/>
        </c:dLbls>
        <c:axId val="171118976"/>
        <c:axId val="171120896"/>
      </c:scatterChart>
      <c:valAx>
        <c:axId val="171118976"/>
        <c:scaling>
          <c:orientation val="minMax"/>
        </c:scaling>
        <c:delete val="0"/>
        <c:axPos val="b"/>
        <c:title>
          <c:tx>
            <c:rich>
              <a:bodyPr/>
              <a:lstStyle/>
              <a:p>
                <a:pPr>
                  <a:defRPr/>
                </a:pPr>
                <a:r>
                  <a:rPr lang="en-US"/>
                  <a:t>Total</a:t>
                </a:r>
                <a:r>
                  <a:rPr lang="en-US" baseline="0"/>
                  <a:t> </a:t>
                </a:r>
                <a:r>
                  <a:rPr lang="en-US"/>
                  <a:t>volume [dm3]</a:t>
                </a:r>
              </a:p>
            </c:rich>
          </c:tx>
          <c:overlay val="0"/>
        </c:title>
        <c:numFmt formatCode="0.0" sourceLinked="1"/>
        <c:majorTickMark val="out"/>
        <c:minorTickMark val="none"/>
        <c:tickLblPos val="nextTo"/>
        <c:crossAx val="171120896"/>
        <c:crosses val="autoZero"/>
        <c:crossBetween val="midCat"/>
      </c:valAx>
      <c:valAx>
        <c:axId val="171120896"/>
        <c:scaling>
          <c:orientation val="minMax"/>
          <c:min val="0"/>
        </c:scaling>
        <c:delete val="0"/>
        <c:axPos val="l"/>
        <c:majorGridlines>
          <c:spPr>
            <a:ln>
              <a:solidFill>
                <a:schemeClr val="bg1">
                  <a:lumMod val="75000"/>
                </a:schemeClr>
              </a:solidFill>
            </a:ln>
          </c:spPr>
        </c:majorGridlines>
        <c:title>
          <c:tx>
            <c:rich>
              <a:bodyPr rot="-5400000" vert="horz"/>
              <a:lstStyle/>
              <a:p>
                <a:pPr>
                  <a:defRPr/>
                </a:pPr>
                <a:r>
                  <a:rPr lang="en-US"/>
                  <a:t>Annual Energy Consumption [kWh/a]</a:t>
                </a:r>
              </a:p>
            </c:rich>
          </c:tx>
          <c:overlay val="0"/>
        </c:title>
        <c:numFmt formatCode="0.0" sourceLinked="1"/>
        <c:majorTickMark val="out"/>
        <c:minorTickMark val="none"/>
        <c:tickLblPos val="nextTo"/>
        <c:crossAx val="171118976"/>
        <c:crosses val="autoZero"/>
        <c:crossBetween val="midCat"/>
      </c:valAx>
    </c:plotArea>
    <c:legend>
      <c:legendPos val="r"/>
      <c:layout>
        <c:manualLayout>
          <c:xMode val="edge"/>
          <c:yMode val="edge"/>
          <c:x val="0.7099501215484596"/>
          <c:y val="0.53597559055118105"/>
          <c:w val="0.22116918964465235"/>
          <c:h val="0.30138188976377955"/>
        </c:manualLayout>
      </c:layout>
      <c:overlay val="0"/>
      <c:spPr>
        <a:solidFill>
          <a:schemeClr val="bg1"/>
        </a:solidFill>
        <a:ln>
          <a:solidFill>
            <a:schemeClr val="bg1">
              <a:lumMod val="75000"/>
            </a:schemeClr>
          </a:solidFill>
        </a:ln>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Model!$C$39:$AO$39</c:f>
              <c:numCache>
                <c:formatCode>General</c:formatCode>
                <c:ptCount val="39"/>
                <c:pt idx="0">
                  <c:v>21</c:v>
                </c:pt>
                <c:pt idx="1">
                  <c:v>13</c:v>
                </c:pt>
                <c:pt idx="2">
                  <c:v>10</c:v>
                </c:pt>
                <c:pt idx="3">
                  <c:v>9</c:v>
                </c:pt>
                <c:pt idx="5">
                  <c:v>21</c:v>
                </c:pt>
                <c:pt idx="6">
                  <c:v>13</c:v>
                </c:pt>
                <c:pt idx="7">
                  <c:v>10</c:v>
                </c:pt>
                <c:pt idx="8">
                  <c:v>9</c:v>
                </c:pt>
                <c:pt idx="10">
                  <c:v>9</c:v>
                </c:pt>
                <c:pt idx="12">
                  <c:v>9</c:v>
                </c:pt>
                <c:pt idx="15">
                  <c:v>11</c:v>
                </c:pt>
                <c:pt idx="16">
                  <c:v>9</c:v>
                </c:pt>
                <c:pt idx="17">
                  <c:v>7</c:v>
                </c:pt>
                <c:pt idx="18">
                  <c:v>6</c:v>
                </c:pt>
                <c:pt idx="20">
                  <c:v>11</c:v>
                </c:pt>
                <c:pt idx="21">
                  <c:v>11</c:v>
                </c:pt>
                <c:pt idx="22">
                  <c:v>10</c:v>
                </c:pt>
                <c:pt idx="23">
                  <c:v>9</c:v>
                </c:pt>
                <c:pt idx="25">
                  <c:v>6</c:v>
                </c:pt>
                <c:pt idx="27">
                  <c:v>6</c:v>
                </c:pt>
                <c:pt idx="30">
                  <c:v>14.5</c:v>
                </c:pt>
                <c:pt idx="31">
                  <c:v>13.5</c:v>
                </c:pt>
                <c:pt idx="32">
                  <c:v>12</c:v>
                </c:pt>
                <c:pt idx="33">
                  <c:v>10.5</c:v>
                </c:pt>
                <c:pt idx="35">
                  <c:v>13</c:v>
                </c:pt>
                <c:pt idx="36">
                  <c:v>12</c:v>
                </c:pt>
                <c:pt idx="37">
                  <c:v>11</c:v>
                </c:pt>
                <c:pt idx="38">
                  <c:v>10</c:v>
                </c:pt>
              </c:numCache>
            </c:numRef>
          </c:xVal>
          <c:yVal>
            <c:numRef>
              <c:f>Model!$C$66:$AO$66</c:f>
              <c:numCache>
                <c:formatCode>0.0</c:formatCode>
                <c:ptCount val="39"/>
                <c:pt idx="0">
                  <c:v>16.160846491148</c:v>
                </c:pt>
                <c:pt idx="1">
                  <c:v>14.710378912591299</c:v>
                </c:pt>
                <c:pt idx="2">
                  <c:v>11.830814846626684</c:v>
                </c:pt>
                <c:pt idx="3">
                  <c:v>7.6088643457480174</c:v>
                </c:pt>
                <c:pt idx="5">
                  <c:v>16.158186768428113</c:v>
                </c:pt>
                <c:pt idx="6">
                  <c:v>18.015410054041663</c:v>
                </c:pt>
                <c:pt idx="7">
                  <c:v>17.136128632626409</c:v>
                </c:pt>
                <c:pt idx="8">
                  <c:v>12.732216359497418</c:v>
                </c:pt>
                <c:pt idx="10">
                  <c:v>12.738280796634626</c:v>
                </c:pt>
                <c:pt idx="12">
                  <c:v>12.749902680572914</c:v>
                </c:pt>
                <c:pt idx="15">
                  <c:v>11.91875267264145</c:v>
                </c:pt>
                <c:pt idx="16">
                  <c:v>13.681622686572728</c:v>
                </c:pt>
                <c:pt idx="17">
                  <c:v>10.91574641869135</c:v>
                </c:pt>
                <c:pt idx="18">
                  <c:v>11.908819774168373</c:v>
                </c:pt>
                <c:pt idx="20">
                  <c:v>11.914132482732123</c:v>
                </c:pt>
                <c:pt idx="21">
                  <c:v>11.048983906063544</c:v>
                </c:pt>
                <c:pt idx="22">
                  <c:v>7.4858915633509913</c:v>
                </c:pt>
                <c:pt idx="23">
                  <c:v>7.7641255295005704</c:v>
                </c:pt>
                <c:pt idx="25">
                  <c:v>11.907130912266835</c:v>
                </c:pt>
                <c:pt idx="27">
                  <c:v>11.8906974230353</c:v>
                </c:pt>
                <c:pt idx="30">
                  <c:v>10.368916840572838</c:v>
                </c:pt>
                <c:pt idx="31">
                  <c:v>8.7137641961887553</c:v>
                </c:pt>
                <c:pt idx="32">
                  <c:v>8.5186062999447945</c:v>
                </c:pt>
                <c:pt idx="33">
                  <c:v>7.7728459639565726</c:v>
                </c:pt>
                <c:pt idx="35">
                  <c:v>10.640269794630301</c:v>
                </c:pt>
                <c:pt idx="36">
                  <c:v>9.2266826925922505</c:v>
                </c:pt>
                <c:pt idx="37">
                  <c:v>8.1715606793297901</c:v>
                </c:pt>
                <c:pt idx="38">
                  <c:v>7.8569847017458923</c:v>
                </c:pt>
              </c:numCache>
            </c:numRef>
          </c:yVal>
          <c:smooth val="0"/>
        </c:ser>
        <c:dLbls>
          <c:showLegendKey val="0"/>
          <c:showVal val="0"/>
          <c:showCatName val="0"/>
          <c:showSerName val="0"/>
          <c:showPercent val="0"/>
          <c:showBubbleSize val="0"/>
        </c:dLbls>
        <c:axId val="171138048"/>
        <c:axId val="171152512"/>
      </c:scatterChart>
      <c:valAx>
        <c:axId val="171138048"/>
        <c:scaling>
          <c:orientation val="minMax"/>
        </c:scaling>
        <c:delete val="0"/>
        <c:axPos val="b"/>
        <c:title>
          <c:tx>
            <c:rich>
              <a:bodyPr/>
              <a:lstStyle/>
              <a:p>
                <a:pPr>
                  <a:defRPr/>
                </a:pPr>
                <a:r>
                  <a:rPr lang="en-US"/>
                  <a:t>Temperature difference condenser [K]</a:t>
                </a:r>
              </a:p>
            </c:rich>
          </c:tx>
          <c:overlay val="0"/>
        </c:title>
        <c:numFmt formatCode="General" sourceLinked="1"/>
        <c:majorTickMark val="out"/>
        <c:minorTickMark val="none"/>
        <c:tickLblPos val="nextTo"/>
        <c:crossAx val="171152512"/>
        <c:crosses val="autoZero"/>
        <c:crossBetween val="midCat"/>
      </c:valAx>
      <c:valAx>
        <c:axId val="171152512"/>
        <c:scaling>
          <c:orientation val="minMax"/>
        </c:scaling>
        <c:delete val="0"/>
        <c:axPos val="l"/>
        <c:majorGridlines/>
        <c:title>
          <c:tx>
            <c:rich>
              <a:bodyPr rot="-5400000" vert="horz"/>
              <a:lstStyle/>
              <a:p>
                <a:pPr>
                  <a:defRPr/>
                </a:pPr>
                <a:r>
                  <a:rPr lang="en-US"/>
                  <a:t>Average heat transfer coefficient [W/(m2K)]</a:t>
                </a:r>
              </a:p>
            </c:rich>
          </c:tx>
          <c:overlay val="0"/>
        </c:title>
        <c:numFmt formatCode="0.0" sourceLinked="1"/>
        <c:majorTickMark val="out"/>
        <c:minorTickMark val="none"/>
        <c:tickLblPos val="nextTo"/>
        <c:crossAx val="17113804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42460882988549"/>
          <c:y val="3.9955080924893166E-2"/>
          <c:w val="0.74012730198804766"/>
          <c:h val="0.79357911121324853"/>
        </c:manualLayout>
      </c:layout>
      <c:scatterChart>
        <c:scatterStyle val="lineMarker"/>
        <c:varyColors val="0"/>
        <c:ser>
          <c:idx val="0"/>
          <c:order val="0"/>
          <c:tx>
            <c:v>VHK, Cat 1</c:v>
          </c:tx>
          <c:spPr>
            <a:ln w="28575">
              <a:solidFill>
                <a:schemeClr val="tx2">
                  <a:lumMod val="60000"/>
                  <a:lumOff val="40000"/>
                </a:schemeClr>
              </a:solidFill>
            </a:ln>
          </c:spPr>
          <c:xVal>
            <c:numRef>
              <c:f>Model!$C$6:$F$6</c:f>
              <c:numCache>
                <c:formatCode>0.0</c:formatCode>
                <c:ptCount val="4"/>
                <c:pt idx="0">
                  <c:v>41.876711999999998</c:v>
                </c:pt>
                <c:pt idx="1">
                  <c:v>107.35179199999997</c:v>
                </c:pt>
                <c:pt idx="2">
                  <c:v>183.80998400000004</c:v>
                </c:pt>
                <c:pt idx="3">
                  <c:v>331.48799999999994</c:v>
                </c:pt>
              </c:numCache>
            </c:numRef>
          </c:xVal>
          <c:yVal>
            <c:numRef>
              <c:f>Model!$C$35:$F$35</c:f>
              <c:numCache>
                <c:formatCode>0.0</c:formatCode>
                <c:ptCount val="4"/>
                <c:pt idx="0">
                  <c:v>14.059200000000004</c:v>
                </c:pt>
                <c:pt idx="1">
                  <c:v>20.84532195121951</c:v>
                </c:pt>
                <c:pt idx="2">
                  <c:v>24.853203773584909</c:v>
                </c:pt>
                <c:pt idx="3">
                  <c:v>31.523142857142862</c:v>
                </c:pt>
              </c:numCache>
            </c:numRef>
          </c:yVal>
          <c:smooth val="0"/>
        </c:ser>
        <c:ser>
          <c:idx val="1"/>
          <c:order val="1"/>
          <c:tx>
            <c:v>CECED, Cat 1</c:v>
          </c:tx>
          <c:spPr>
            <a:ln>
              <a:solidFill>
                <a:schemeClr val="tx2">
                  <a:lumMod val="60000"/>
                  <a:lumOff val="40000"/>
                </a:schemeClr>
              </a:solidFill>
              <a:prstDash val="sysDash"/>
            </a:ln>
          </c:spPr>
          <c:marker>
            <c:spPr>
              <a:solidFill>
                <a:schemeClr val="accent1"/>
              </a:solidFill>
              <a:ln>
                <a:solidFill>
                  <a:schemeClr val="tx2">
                    <a:lumMod val="60000"/>
                    <a:lumOff val="40000"/>
                  </a:schemeClr>
                </a:solidFill>
              </a:ln>
            </c:spPr>
          </c:marker>
          <c:xVal>
            <c:numRef>
              <c:f>Model!$H$6:$K$6</c:f>
              <c:numCache>
                <c:formatCode>0.0</c:formatCode>
                <c:ptCount val="4"/>
                <c:pt idx="0">
                  <c:v>44.756712</c:v>
                </c:pt>
                <c:pt idx="1">
                  <c:v>110.63179199999998</c:v>
                </c:pt>
                <c:pt idx="2">
                  <c:v>194.62500000000003</c:v>
                </c:pt>
                <c:pt idx="3">
                  <c:v>354.52099999999996</c:v>
                </c:pt>
              </c:numCache>
            </c:numRef>
          </c:xVal>
          <c:yVal>
            <c:numRef>
              <c:f>Model!$H$35:$K$35</c:f>
              <c:numCache>
                <c:formatCode>0.0</c:formatCode>
                <c:ptCount val="4"/>
                <c:pt idx="0">
                  <c:v>14.226400000000002</c:v>
                </c:pt>
                <c:pt idx="1">
                  <c:v>21.013521951219509</c:v>
                </c:pt>
                <c:pt idx="2">
                  <c:v>26.4</c:v>
                </c:pt>
                <c:pt idx="3">
                  <c:v>33.886461538461532</c:v>
                </c:pt>
              </c:numCache>
            </c:numRef>
          </c:yVal>
          <c:smooth val="0"/>
        </c:ser>
        <c:ser>
          <c:idx val="2"/>
          <c:order val="2"/>
          <c:tx>
            <c:v>VHK, Cat 8</c:v>
          </c:tx>
          <c:spPr>
            <a:ln>
              <a:solidFill>
                <a:schemeClr val="accent4">
                  <a:lumMod val="75000"/>
                </a:schemeClr>
              </a:solidFill>
            </a:ln>
          </c:spPr>
          <c:marker>
            <c:symbol val="diamond"/>
            <c:size val="7"/>
            <c:spPr>
              <a:solidFill>
                <a:schemeClr val="accent4">
                  <a:lumMod val="75000"/>
                </a:schemeClr>
              </a:solidFill>
              <a:ln>
                <a:solidFill>
                  <a:schemeClr val="accent4">
                    <a:lumMod val="75000"/>
                  </a:schemeClr>
                </a:solidFill>
              </a:ln>
            </c:spPr>
          </c:marker>
          <c:xVal>
            <c:numRef>
              <c:f>Model!$R$6:$U$6</c:f>
              <c:numCache>
                <c:formatCode>0.0</c:formatCode>
                <c:ptCount val="4"/>
                <c:pt idx="0">
                  <c:v>82</c:v>
                </c:pt>
                <c:pt idx="1">
                  <c:v>110.79300000000005</c:v>
                </c:pt>
                <c:pt idx="2">
                  <c:v>225.81200000000001</c:v>
                </c:pt>
                <c:pt idx="3">
                  <c:v>354.99599999999998</c:v>
                </c:pt>
              </c:numCache>
            </c:numRef>
          </c:xVal>
          <c:yVal>
            <c:numRef>
              <c:f>Model!$R$35:$U$35</c:f>
              <c:numCache>
                <c:formatCode>0.0</c:formatCode>
                <c:ptCount val="4"/>
                <c:pt idx="0">
                  <c:v>24.236249999999998</c:v>
                </c:pt>
                <c:pt idx="1">
                  <c:v>27.125500000000002</c:v>
                </c:pt>
                <c:pt idx="2">
                  <c:v>39.256772727272718</c:v>
                </c:pt>
                <c:pt idx="3">
                  <c:v>45.039000000000001</c:v>
                </c:pt>
              </c:numCache>
            </c:numRef>
          </c:yVal>
          <c:smooth val="0"/>
        </c:ser>
        <c:ser>
          <c:idx val="3"/>
          <c:order val="3"/>
          <c:tx>
            <c:v>CECED, Cat 8</c:v>
          </c:tx>
          <c:spPr>
            <a:ln>
              <a:prstDash val="sysDash"/>
            </a:ln>
          </c:spPr>
          <c:marker>
            <c:symbol val="square"/>
            <c:size val="7"/>
          </c:marker>
          <c:xVal>
            <c:numRef>
              <c:f>Model!$W$6:$Z$6</c:f>
              <c:numCache>
                <c:formatCode>0.0</c:formatCode>
                <c:ptCount val="4"/>
                <c:pt idx="0">
                  <c:v>88.000000000000014</c:v>
                </c:pt>
                <c:pt idx="1">
                  <c:v>117.99300000000004</c:v>
                </c:pt>
                <c:pt idx="2">
                  <c:v>263.99999999999994</c:v>
                </c:pt>
                <c:pt idx="3">
                  <c:v>442.49999999999994</c:v>
                </c:pt>
              </c:numCache>
            </c:numRef>
          </c:xVal>
          <c:yVal>
            <c:numRef>
              <c:f>Model!$W$35:$Z$35</c:f>
              <c:numCache>
                <c:formatCode>0.0</c:formatCode>
                <c:ptCount val="4"/>
                <c:pt idx="0">
                  <c:v>24.63</c:v>
                </c:pt>
                <c:pt idx="1">
                  <c:v>27.526000000000003</c:v>
                </c:pt>
                <c:pt idx="2">
                  <c:v>43.964999999999989</c:v>
                </c:pt>
                <c:pt idx="3">
                  <c:v>55.304999999999993</c:v>
                </c:pt>
              </c:numCache>
            </c:numRef>
          </c:yVal>
          <c:smooth val="0"/>
        </c:ser>
        <c:ser>
          <c:idx val="4"/>
          <c:order val="4"/>
          <c:tx>
            <c:v>VHK, Cat 7</c:v>
          </c:tx>
          <c:spPr>
            <a:ln>
              <a:solidFill>
                <a:schemeClr val="accent6">
                  <a:lumMod val="75000"/>
                </a:schemeClr>
              </a:solidFill>
            </a:ln>
          </c:spPr>
          <c:marker>
            <c:symbol val="diamond"/>
            <c:size val="7"/>
            <c:spPr>
              <a:solidFill>
                <a:schemeClr val="accent6">
                  <a:lumMod val="75000"/>
                </a:schemeClr>
              </a:solidFill>
              <a:ln>
                <a:solidFill>
                  <a:schemeClr val="accent6">
                    <a:lumMod val="75000"/>
                  </a:schemeClr>
                </a:solidFill>
              </a:ln>
            </c:spPr>
          </c:marker>
          <c:xVal>
            <c:numRef>
              <c:f>Model!$AG$6:$AJ$6</c:f>
              <c:numCache>
                <c:formatCode>0.0</c:formatCode>
                <c:ptCount val="4"/>
                <c:pt idx="0">
                  <c:v>168.69600000000003</c:v>
                </c:pt>
                <c:pt idx="1">
                  <c:v>199.38199999999998</c:v>
                </c:pt>
                <c:pt idx="2">
                  <c:v>344.18399999999991</c:v>
                </c:pt>
                <c:pt idx="3">
                  <c:v>660.59049999999991</c:v>
                </c:pt>
              </c:numCache>
            </c:numRef>
          </c:xVal>
          <c:yVal>
            <c:numRef>
              <c:f>Model!$AG$35:$AJ$35</c:f>
              <c:numCache>
                <c:formatCode>0.0</c:formatCode>
                <c:ptCount val="4"/>
                <c:pt idx="0">
                  <c:v>46.935000000000002</c:v>
                </c:pt>
                <c:pt idx="1">
                  <c:v>47.101788461538462</c:v>
                </c:pt>
                <c:pt idx="2">
                  <c:v>61.166678571428569</c:v>
                </c:pt>
                <c:pt idx="3">
                  <c:v>73.527882352941177</c:v>
                </c:pt>
              </c:numCache>
            </c:numRef>
          </c:yVal>
          <c:smooth val="0"/>
        </c:ser>
        <c:ser>
          <c:idx val="5"/>
          <c:order val="5"/>
          <c:tx>
            <c:v>CECED, Cat 7</c:v>
          </c:tx>
          <c:spPr>
            <a:ln>
              <a:solidFill>
                <a:schemeClr val="accent6">
                  <a:lumMod val="75000"/>
                </a:schemeClr>
              </a:solidFill>
              <a:prstDash val="sysDash"/>
            </a:ln>
          </c:spPr>
          <c:marker>
            <c:symbol val="square"/>
            <c:size val="7"/>
            <c:spPr>
              <a:solidFill>
                <a:schemeClr val="accent6">
                  <a:lumMod val="75000"/>
                </a:schemeClr>
              </a:solidFill>
              <a:ln>
                <a:solidFill>
                  <a:schemeClr val="accent6">
                    <a:lumMod val="75000"/>
                  </a:schemeClr>
                </a:solidFill>
              </a:ln>
            </c:spPr>
          </c:marker>
          <c:xVal>
            <c:numRef>
              <c:f>Model!$AL$6:$AO$6</c:f>
              <c:numCache>
                <c:formatCode>0.0</c:formatCode>
                <c:ptCount val="4"/>
                <c:pt idx="0">
                  <c:v>173.09600000000003</c:v>
                </c:pt>
                <c:pt idx="1">
                  <c:v>217.62300000000008</c:v>
                </c:pt>
                <c:pt idx="2">
                  <c:v>349.78399999999993</c:v>
                </c:pt>
                <c:pt idx="3">
                  <c:v>538.94399999999985</c:v>
                </c:pt>
              </c:numCache>
            </c:numRef>
          </c:xVal>
          <c:yVal>
            <c:numRef>
              <c:f>Model!$AL$35:$AO$35</c:f>
              <c:numCache>
                <c:formatCode>0.0</c:formatCode>
                <c:ptCount val="4"/>
                <c:pt idx="0">
                  <c:v>39.831785851036713</c:v>
                </c:pt>
                <c:pt idx="1">
                  <c:v>43.961790748654174</c:v>
                </c:pt>
                <c:pt idx="2">
                  <c:v>53.775658299082153</c:v>
                </c:pt>
                <c:pt idx="3">
                  <c:v>64.720850336775754</c:v>
                </c:pt>
              </c:numCache>
            </c:numRef>
          </c:yVal>
          <c:smooth val="0"/>
        </c:ser>
        <c:dLbls>
          <c:showLegendKey val="0"/>
          <c:showVal val="0"/>
          <c:showCatName val="0"/>
          <c:showSerName val="0"/>
          <c:showPercent val="0"/>
          <c:showBubbleSize val="0"/>
        </c:dLbls>
        <c:axId val="171458944"/>
        <c:axId val="171461248"/>
      </c:scatterChart>
      <c:valAx>
        <c:axId val="171458944"/>
        <c:scaling>
          <c:orientation val="minMax"/>
          <c:max val="700"/>
          <c:min val="0"/>
        </c:scaling>
        <c:delete val="0"/>
        <c:axPos val="b"/>
        <c:title>
          <c:tx>
            <c:rich>
              <a:bodyPr/>
              <a:lstStyle/>
              <a:p>
                <a:pPr>
                  <a:defRPr/>
                </a:pPr>
                <a:r>
                  <a:rPr lang="en-US"/>
                  <a:t>Volume [dm3]</a:t>
                </a:r>
              </a:p>
            </c:rich>
          </c:tx>
          <c:layout/>
          <c:overlay val="0"/>
        </c:title>
        <c:numFmt formatCode="0.0" sourceLinked="1"/>
        <c:majorTickMark val="out"/>
        <c:minorTickMark val="none"/>
        <c:tickLblPos val="nextTo"/>
        <c:crossAx val="171461248"/>
        <c:crosses val="autoZero"/>
        <c:crossBetween val="midCat"/>
      </c:valAx>
      <c:valAx>
        <c:axId val="171461248"/>
        <c:scaling>
          <c:orientation val="minMax"/>
        </c:scaling>
        <c:delete val="0"/>
        <c:axPos val="l"/>
        <c:majorGridlines>
          <c:spPr>
            <a:ln>
              <a:solidFill>
                <a:schemeClr val="bg1">
                  <a:lumMod val="75000"/>
                </a:schemeClr>
              </a:solidFill>
            </a:ln>
          </c:spPr>
        </c:majorGridlines>
        <c:title>
          <c:tx>
            <c:rich>
              <a:bodyPr rot="-5400000" vert="horz"/>
              <a:lstStyle/>
              <a:p>
                <a:pPr>
                  <a:defRPr/>
                </a:pPr>
                <a:r>
                  <a:rPr lang="en-US"/>
                  <a:t>Total Heat Loss [W]</a:t>
                </a:r>
              </a:p>
            </c:rich>
          </c:tx>
          <c:layout/>
          <c:overlay val="0"/>
        </c:title>
        <c:numFmt formatCode="0.0" sourceLinked="1"/>
        <c:majorTickMark val="out"/>
        <c:minorTickMark val="none"/>
        <c:tickLblPos val="nextTo"/>
        <c:crossAx val="171458944"/>
        <c:crosses val="autoZero"/>
        <c:crossBetween val="midCat"/>
      </c:valAx>
    </c:plotArea>
    <c:legend>
      <c:legendPos val="r"/>
      <c:layout>
        <c:manualLayout>
          <c:xMode val="edge"/>
          <c:yMode val="edge"/>
          <c:x val="0.61017704592725064"/>
          <c:y val="0.39833998911310331"/>
          <c:w val="0.23342478674540681"/>
          <c:h val="0.38069301856417143"/>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42460882988549"/>
          <c:y val="3.9955080924893166E-2"/>
          <c:w val="0.74012730198804766"/>
          <c:h val="0.82236903066098088"/>
        </c:manualLayout>
      </c:layout>
      <c:scatterChart>
        <c:scatterStyle val="lineMarker"/>
        <c:varyColors val="0"/>
        <c:ser>
          <c:idx val="0"/>
          <c:order val="0"/>
          <c:tx>
            <c:v>VHK, Cat 1</c:v>
          </c:tx>
          <c:spPr>
            <a:ln w="28575">
              <a:solidFill>
                <a:schemeClr val="tx2">
                  <a:lumMod val="60000"/>
                  <a:lumOff val="40000"/>
                </a:schemeClr>
              </a:solidFill>
            </a:ln>
          </c:spPr>
          <c:xVal>
            <c:numRef>
              <c:f>Model!$C$6:$F$6</c:f>
              <c:numCache>
                <c:formatCode>0.0</c:formatCode>
                <c:ptCount val="4"/>
                <c:pt idx="0">
                  <c:v>41.876711999999998</c:v>
                </c:pt>
                <c:pt idx="1">
                  <c:v>107.35179199999997</c:v>
                </c:pt>
                <c:pt idx="2">
                  <c:v>183.80998400000004</c:v>
                </c:pt>
                <c:pt idx="3">
                  <c:v>331.48799999999994</c:v>
                </c:pt>
              </c:numCache>
            </c:numRef>
          </c:xVal>
          <c:yVal>
            <c:numRef>
              <c:f>Model!$C$22:$F$22</c:f>
              <c:numCache>
                <c:formatCode>General</c:formatCode>
                <c:ptCount val="4"/>
                <c:pt idx="0">
                  <c:v>3.5999999999999997E-2</c:v>
                </c:pt>
                <c:pt idx="1">
                  <c:v>4.1000000000000002E-2</c:v>
                </c:pt>
                <c:pt idx="2">
                  <c:v>5.2999999999999999E-2</c:v>
                </c:pt>
                <c:pt idx="3">
                  <c:v>7.0000000000000007E-2</c:v>
                </c:pt>
              </c:numCache>
            </c:numRef>
          </c:yVal>
          <c:smooth val="0"/>
        </c:ser>
        <c:ser>
          <c:idx val="1"/>
          <c:order val="1"/>
          <c:tx>
            <c:v>CECED, Cat 1</c:v>
          </c:tx>
          <c:spPr>
            <a:ln>
              <a:solidFill>
                <a:schemeClr val="tx2">
                  <a:lumMod val="60000"/>
                  <a:lumOff val="40000"/>
                </a:schemeClr>
              </a:solidFill>
              <a:prstDash val="sysDash"/>
            </a:ln>
          </c:spPr>
          <c:marker>
            <c:spPr>
              <a:solidFill>
                <a:schemeClr val="accent1"/>
              </a:solidFill>
              <a:ln>
                <a:solidFill>
                  <a:schemeClr val="tx2">
                    <a:lumMod val="60000"/>
                    <a:lumOff val="40000"/>
                  </a:schemeClr>
                </a:solidFill>
              </a:ln>
            </c:spPr>
          </c:marker>
          <c:xVal>
            <c:numRef>
              <c:f>Model!$H$6:$K$6</c:f>
              <c:numCache>
                <c:formatCode>0.0</c:formatCode>
                <c:ptCount val="4"/>
                <c:pt idx="0">
                  <c:v>44.756712</c:v>
                </c:pt>
                <c:pt idx="1">
                  <c:v>110.63179199999998</c:v>
                </c:pt>
                <c:pt idx="2">
                  <c:v>194.62500000000003</c:v>
                </c:pt>
                <c:pt idx="3">
                  <c:v>354.52099999999996</c:v>
                </c:pt>
              </c:numCache>
            </c:numRef>
          </c:xVal>
          <c:yVal>
            <c:numRef>
              <c:f>Model!$H$22:$K$22</c:f>
              <c:numCache>
                <c:formatCode>General</c:formatCode>
                <c:ptCount val="4"/>
                <c:pt idx="0">
                  <c:v>3.5999999999999997E-2</c:v>
                </c:pt>
                <c:pt idx="1">
                  <c:v>4.1000000000000002E-2</c:v>
                </c:pt>
                <c:pt idx="2" formatCode="0.000">
                  <c:v>0.05</c:v>
                </c:pt>
                <c:pt idx="3">
                  <c:v>6.5000000000000002E-2</c:v>
                </c:pt>
              </c:numCache>
            </c:numRef>
          </c:yVal>
          <c:smooth val="0"/>
        </c:ser>
        <c:ser>
          <c:idx val="2"/>
          <c:order val="2"/>
          <c:tx>
            <c:v>VHK, Cat 8</c:v>
          </c:tx>
          <c:spPr>
            <a:ln>
              <a:solidFill>
                <a:schemeClr val="accent4">
                  <a:lumMod val="75000"/>
                </a:schemeClr>
              </a:solidFill>
            </a:ln>
          </c:spPr>
          <c:marker>
            <c:symbol val="diamond"/>
            <c:size val="7"/>
            <c:spPr>
              <a:solidFill>
                <a:schemeClr val="accent4">
                  <a:lumMod val="75000"/>
                </a:schemeClr>
              </a:solidFill>
              <a:ln>
                <a:solidFill>
                  <a:schemeClr val="accent4">
                    <a:lumMod val="75000"/>
                  </a:schemeClr>
                </a:solidFill>
              </a:ln>
            </c:spPr>
          </c:marker>
          <c:xVal>
            <c:numRef>
              <c:f>Model!$R$6:$U$6</c:f>
              <c:numCache>
                <c:formatCode>0.0</c:formatCode>
                <c:ptCount val="4"/>
                <c:pt idx="0">
                  <c:v>82</c:v>
                </c:pt>
                <c:pt idx="1">
                  <c:v>110.79300000000005</c:v>
                </c:pt>
                <c:pt idx="2">
                  <c:v>225.81200000000001</c:v>
                </c:pt>
                <c:pt idx="3">
                  <c:v>354.99599999999998</c:v>
                </c:pt>
              </c:numCache>
            </c:numRef>
          </c:xVal>
          <c:yVal>
            <c:numRef>
              <c:f>Model!$R$22:$U$22</c:f>
              <c:numCache>
                <c:formatCode>0.000</c:formatCode>
                <c:ptCount val="4"/>
                <c:pt idx="0">
                  <c:v>7.4999999999999997E-2</c:v>
                </c:pt>
                <c:pt idx="1">
                  <c:v>0.09</c:v>
                </c:pt>
                <c:pt idx="2">
                  <c:v>0.11</c:v>
                </c:pt>
                <c:pt idx="3">
                  <c:v>0.12</c:v>
                </c:pt>
              </c:numCache>
            </c:numRef>
          </c:yVal>
          <c:smooth val="0"/>
        </c:ser>
        <c:ser>
          <c:idx val="3"/>
          <c:order val="3"/>
          <c:tx>
            <c:v>CECED, Cat 8</c:v>
          </c:tx>
          <c:spPr>
            <a:ln>
              <a:prstDash val="sysDash"/>
            </a:ln>
          </c:spPr>
          <c:marker>
            <c:symbol val="square"/>
            <c:size val="7"/>
          </c:marker>
          <c:xVal>
            <c:numRef>
              <c:f>Model!$W$6:$Z$6</c:f>
              <c:numCache>
                <c:formatCode>0.0</c:formatCode>
                <c:ptCount val="4"/>
                <c:pt idx="0">
                  <c:v>88.000000000000014</c:v>
                </c:pt>
                <c:pt idx="1">
                  <c:v>117.99300000000004</c:v>
                </c:pt>
                <c:pt idx="2">
                  <c:v>263.99999999999994</c:v>
                </c:pt>
                <c:pt idx="3">
                  <c:v>442.49999999999994</c:v>
                </c:pt>
              </c:numCache>
            </c:numRef>
          </c:xVal>
          <c:yVal>
            <c:numRef>
              <c:f>Model!$W$22:$Z$22</c:f>
              <c:numCache>
                <c:formatCode>0.000</c:formatCode>
                <c:ptCount val="4"/>
                <c:pt idx="0">
                  <c:v>7.4999999999999997E-2</c:v>
                </c:pt>
                <c:pt idx="1">
                  <c:v>0.09</c:v>
                </c:pt>
                <c:pt idx="2">
                  <c:v>0.1</c:v>
                </c:pt>
                <c:pt idx="3">
                  <c:v>0.1</c:v>
                </c:pt>
              </c:numCache>
            </c:numRef>
          </c:yVal>
          <c:smooth val="0"/>
        </c:ser>
        <c:ser>
          <c:idx val="4"/>
          <c:order val="4"/>
          <c:tx>
            <c:v>VHK, Cat 7</c:v>
          </c:tx>
          <c:spPr>
            <a:ln>
              <a:solidFill>
                <a:schemeClr val="accent6">
                  <a:lumMod val="75000"/>
                </a:schemeClr>
              </a:solidFill>
            </a:ln>
          </c:spPr>
          <c:marker>
            <c:symbol val="diamond"/>
            <c:size val="7"/>
            <c:spPr>
              <a:solidFill>
                <a:schemeClr val="accent6">
                  <a:lumMod val="75000"/>
                </a:schemeClr>
              </a:solidFill>
              <a:ln>
                <a:solidFill>
                  <a:schemeClr val="accent6">
                    <a:lumMod val="75000"/>
                  </a:schemeClr>
                </a:solidFill>
              </a:ln>
            </c:spPr>
          </c:marker>
          <c:xVal>
            <c:numRef>
              <c:f>Model!$AG$6:$AJ$6</c:f>
              <c:numCache>
                <c:formatCode>0.0</c:formatCode>
                <c:ptCount val="4"/>
                <c:pt idx="0">
                  <c:v>168.69600000000003</c:v>
                </c:pt>
                <c:pt idx="1">
                  <c:v>199.38199999999998</c:v>
                </c:pt>
                <c:pt idx="2">
                  <c:v>344.18399999999991</c:v>
                </c:pt>
                <c:pt idx="3">
                  <c:v>660.59049999999991</c:v>
                </c:pt>
              </c:numCache>
            </c:numRef>
          </c:xVal>
          <c:yVal>
            <c:numRef>
              <c:f>Model!$AG$22:$AJ$22</c:f>
              <c:numCache>
                <c:formatCode>0.000</c:formatCode>
                <c:ptCount val="4"/>
                <c:pt idx="0">
                  <c:v>5.5E-2</c:v>
                </c:pt>
                <c:pt idx="1">
                  <c:v>6.5000000000000002E-2</c:v>
                </c:pt>
                <c:pt idx="2">
                  <c:v>7.0000000000000007E-2</c:v>
                </c:pt>
                <c:pt idx="3">
                  <c:v>8.5000000000000006E-2</c:v>
                </c:pt>
              </c:numCache>
            </c:numRef>
          </c:yVal>
          <c:smooth val="0"/>
        </c:ser>
        <c:ser>
          <c:idx val="5"/>
          <c:order val="5"/>
          <c:tx>
            <c:v>CECED, Cat 7</c:v>
          </c:tx>
          <c:spPr>
            <a:ln>
              <a:solidFill>
                <a:schemeClr val="accent6">
                  <a:lumMod val="75000"/>
                </a:schemeClr>
              </a:solidFill>
              <a:prstDash val="sysDash"/>
            </a:ln>
          </c:spPr>
          <c:marker>
            <c:symbol val="square"/>
            <c:size val="7"/>
            <c:spPr>
              <a:solidFill>
                <a:schemeClr val="accent6">
                  <a:lumMod val="75000"/>
                </a:schemeClr>
              </a:solidFill>
              <a:ln>
                <a:solidFill>
                  <a:schemeClr val="accent6">
                    <a:lumMod val="75000"/>
                  </a:schemeClr>
                </a:solidFill>
              </a:ln>
            </c:spPr>
          </c:marker>
          <c:xVal>
            <c:numRef>
              <c:f>Model!$AL$6:$AO$6</c:f>
              <c:numCache>
                <c:formatCode>0.0</c:formatCode>
                <c:ptCount val="4"/>
                <c:pt idx="0">
                  <c:v>173.09600000000003</c:v>
                </c:pt>
                <c:pt idx="1">
                  <c:v>217.62300000000008</c:v>
                </c:pt>
                <c:pt idx="2">
                  <c:v>349.78399999999993</c:v>
                </c:pt>
                <c:pt idx="3">
                  <c:v>538.94399999999985</c:v>
                </c:pt>
              </c:numCache>
            </c:numRef>
          </c:xVal>
          <c:yVal>
            <c:numRef>
              <c:f>Model!$AL$22:$AO$22</c:f>
              <c:numCache>
                <c:formatCode>0.000</c:formatCode>
                <c:ptCount val="4"/>
                <c:pt idx="0">
                  <c:v>5.5E-2</c:v>
                </c:pt>
                <c:pt idx="1">
                  <c:v>0.06</c:v>
                </c:pt>
                <c:pt idx="2">
                  <c:v>7.0000000000000007E-2</c:v>
                </c:pt>
                <c:pt idx="3">
                  <c:v>7.0000000000000007E-2</c:v>
                </c:pt>
              </c:numCache>
            </c:numRef>
          </c:yVal>
          <c:smooth val="0"/>
        </c:ser>
        <c:dLbls>
          <c:showLegendKey val="0"/>
          <c:showVal val="0"/>
          <c:showCatName val="0"/>
          <c:showSerName val="0"/>
          <c:showPercent val="0"/>
          <c:showBubbleSize val="0"/>
        </c:dLbls>
        <c:axId val="171514112"/>
        <c:axId val="171520768"/>
      </c:scatterChart>
      <c:valAx>
        <c:axId val="171514112"/>
        <c:scaling>
          <c:orientation val="minMax"/>
          <c:max val="700"/>
          <c:min val="0"/>
        </c:scaling>
        <c:delete val="0"/>
        <c:axPos val="b"/>
        <c:title>
          <c:tx>
            <c:rich>
              <a:bodyPr/>
              <a:lstStyle/>
              <a:p>
                <a:pPr>
                  <a:defRPr/>
                </a:pPr>
                <a:r>
                  <a:rPr lang="en-US"/>
                  <a:t>Volume [dm3]</a:t>
                </a:r>
              </a:p>
            </c:rich>
          </c:tx>
          <c:layout/>
          <c:overlay val="0"/>
        </c:title>
        <c:numFmt formatCode="0.0" sourceLinked="1"/>
        <c:majorTickMark val="out"/>
        <c:minorTickMark val="none"/>
        <c:tickLblPos val="nextTo"/>
        <c:crossAx val="171520768"/>
        <c:crosses val="autoZero"/>
        <c:crossBetween val="midCat"/>
      </c:valAx>
      <c:valAx>
        <c:axId val="171520768"/>
        <c:scaling>
          <c:orientation val="minMax"/>
        </c:scaling>
        <c:delete val="0"/>
        <c:axPos val="l"/>
        <c:majorGridlines>
          <c:spPr>
            <a:ln>
              <a:solidFill>
                <a:schemeClr val="bg1">
                  <a:lumMod val="75000"/>
                </a:schemeClr>
              </a:solidFill>
            </a:ln>
          </c:spPr>
        </c:majorGridlines>
        <c:title>
          <c:tx>
            <c:rich>
              <a:bodyPr rot="-5400000" vert="horz"/>
              <a:lstStyle/>
              <a:p>
                <a:pPr>
                  <a:defRPr/>
                </a:pPr>
                <a:r>
                  <a:rPr lang="en-US"/>
                  <a:t>Wall</a:t>
                </a:r>
                <a:r>
                  <a:rPr lang="en-US" baseline="0"/>
                  <a:t> thickness [m]</a:t>
                </a:r>
                <a:endParaRPr lang="en-US"/>
              </a:p>
            </c:rich>
          </c:tx>
          <c:layout/>
          <c:overlay val="0"/>
        </c:title>
        <c:numFmt formatCode="General" sourceLinked="1"/>
        <c:majorTickMark val="out"/>
        <c:minorTickMark val="none"/>
        <c:tickLblPos val="nextTo"/>
        <c:crossAx val="171514112"/>
        <c:crosses val="autoZero"/>
        <c:crossBetween val="midCat"/>
      </c:valAx>
    </c:plotArea>
    <c:legend>
      <c:legendPos val="r"/>
      <c:layout>
        <c:manualLayout>
          <c:xMode val="edge"/>
          <c:yMode val="edge"/>
          <c:x val="0.64781728774585567"/>
          <c:y val="0.4739135276634005"/>
          <c:w val="0.25952980931603964"/>
          <c:h val="0.39045421481870429"/>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42460882988549"/>
          <c:y val="3.9955080924893166E-2"/>
          <c:w val="0.74012730198804766"/>
          <c:h val="0.79357911121324853"/>
        </c:manualLayout>
      </c:layout>
      <c:scatterChart>
        <c:scatterStyle val="lineMarker"/>
        <c:varyColors val="0"/>
        <c:ser>
          <c:idx val="1"/>
          <c:order val="0"/>
          <c:tx>
            <c:v>CECED, cat 1</c:v>
          </c:tx>
          <c:spPr>
            <a:ln>
              <a:noFill/>
              <a:prstDash val="sysDash"/>
            </a:ln>
          </c:spPr>
          <c:marker>
            <c:spPr>
              <a:solidFill>
                <a:schemeClr val="accent1"/>
              </a:solidFill>
              <a:ln>
                <a:solidFill>
                  <a:schemeClr val="tx2">
                    <a:lumMod val="60000"/>
                    <a:lumOff val="40000"/>
                  </a:schemeClr>
                </a:solidFill>
              </a:ln>
            </c:spPr>
          </c:marker>
          <c:xVal>
            <c:numRef>
              <c:f>Model!$H$6:$K$6</c:f>
              <c:numCache>
                <c:formatCode>0.0</c:formatCode>
                <c:ptCount val="4"/>
                <c:pt idx="0">
                  <c:v>44.756712</c:v>
                </c:pt>
                <c:pt idx="1">
                  <c:v>110.63179199999998</c:v>
                </c:pt>
                <c:pt idx="2">
                  <c:v>194.62500000000003</c:v>
                </c:pt>
                <c:pt idx="3">
                  <c:v>354.52099999999996</c:v>
                </c:pt>
              </c:numCache>
            </c:numRef>
          </c:xVal>
          <c:yVal>
            <c:numRef>
              <c:f>Model!$H$112:$K$112</c:f>
              <c:numCache>
                <c:formatCode>0.0%</c:formatCode>
                <c:ptCount val="4"/>
                <c:pt idx="0">
                  <c:v>3.3619488336955193E-3</c:v>
                </c:pt>
                <c:pt idx="1">
                  <c:v>2.329466006146395E-2</c:v>
                </c:pt>
                <c:pt idx="2">
                  <c:v>2.0712649668638502E-2</c:v>
                </c:pt>
                <c:pt idx="3">
                  <c:v>3.1649319665131598E-2</c:v>
                </c:pt>
              </c:numCache>
            </c:numRef>
          </c:yVal>
          <c:smooth val="0"/>
        </c:ser>
        <c:ser>
          <c:idx val="3"/>
          <c:order val="1"/>
          <c:tx>
            <c:v>CECED, Cat 8</c:v>
          </c:tx>
          <c:spPr>
            <a:ln>
              <a:noFill/>
              <a:prstDash val="sysDash"/>
            </a:ln>
          </c:spPr>
          <c:marker>
            <c:symbol val="square"/>
            <c:size val="7"/>
          </c:marker>
          <c:xVal>
            <c:numRef>
              <c:f>Model!$W$6:$Z$6</c:f>
              <c:numCache>
                <c:formatCode>0.0</c:formatCode>
                <c:ptCount val="4"/>
                <c:pt idx="0">
                  <c:v>88.000000000000014</c:v>
                </c:pt>
                <c:pt idx="1">
                  <c:v>117.99300000000004</c:v>
                </c:pt>
                <c:pt idx="2">
                  <c:v>263.99999999999994</c:v>
                </c:pt>
                <c:pt idx="3">
                  <c:v>442.49999999999994</c:v>
                </c:pt>
              </c:numCache>
            </c:numRef>
          </c:xVal>
          <c:yVal>
            <c:numRef>
              <c:f>Model!$W$112:$Z$112</c:f>
              <c:numCache>
                <c:formatCode>0.0%</c:formatCode>
                <c:ptCount val="4"/>
                <c:pt idx="0">
                  <c:v>1.1611851061184605E-2</c:v>
                </c:pt>
                <c:pt idx="1">
                  <c:v>2.9540659580211636E-2</c:v>
                </c:pt>
                <c:pt idx="2">
                  <c:v>-6.8648539056366045E-2</c:v>
                </c:pt>
                <c:pt idx="3">
                  <c:v>1.7414891963456629E-2</c:v>
                </c:pt>
              </c:numCache>
            </c:numRef>
          </c:yVal>
          <c:smooth val="0"/>
        </c:ser>
        <c:ser>
          <c:idx val="5"/>
          <c:order val="2"/>
          <c:tx>
            <c:v>CECED, Cat 7</c:v>
          </c:tx>
          <c:spPr>
            <a:ln>
              <a:noFill/>
              <a:prstDash val="sysDash"/>
            </a:ln>
          </c:spPr>
          <c:marker>
            <c:symbol val="square"/>
            <c:size val="7"/>
            <c:spPr>
              <a:solidFill>
                <a:schemeClr val="accent6">
                  <a:lumMod val="75000"/>
                </a:schemeClr>
              </a:solidFill>
              <a:ln>
                <a:solidFill>
                  <a:schemeClr val="accent6">
                    <a:lumMod val="75000"/>
                  </a:schemeClr>
                </a:solidFill>
              </a:ln>
            </c:spPr>
          </c:marker>
          <c:xVal>
            <c:numRef>
              <c:f>Model!$AL$6:$AO$6</c:f>
              <c:numCache>
                <c:formatCode>0.0</c:formatCode>
                <c:ptCount val="4"/>
                <c:pt idx="0">
                  <c:v>173.09600000000003</c:v>
                </c:pt>
                <c:pt idx="1">
                  <c:v>217.62300000000008</c:v>
                </c:pt>
                <c:pt idx="2">
                  <c:v>349.78399999999993</c:v>
                </c:pt>
                <c:pt idx="3">
                  <c:v>538.94399999999985</c:v>
                </c:pt>
              </c:numCache>
            </c:numRef>
          </c:xVal>
          <c:yVal>
            <c:numRef>
              <c:f>Model!$AL$112:$AO$112</c:f>
              <c:numCache>
                <c:formatCode>0.0%</c:formatCode>
                <c:ptCount val="4"/>
                <c:pt idx="0">
                  <c:v>-5.1033366085986083E-2</c:v>
                </c:pt>
                <c:pt idx="1">
                  <c:v>-5.733230188210215E-2</c:v>
                </c:pt>
                <c:pt idx="2">
                  <c:v>-6.9787878886400492E-2</c:v>
                </c:pt>
                <c:pt idx="3">
                  <c:v>-7.0991675094181569E-2</c:v>
                </c:pt>
              </c:numCache>
            </c:numRef>
          </c:yVal>
          <c:smooth val="0"/>
        </c:ser>
        <c:dLbls>
          <c:showLegendKey val="0"/>
          <c:showVal val="0"/>
          <c:showCatName val="0"/>
          <c:showSerName val="0"/>
          <c:showPercent val="0"/>
          <c:showBubbleSize val="0"/>
        </c:dLbls>
        <c:axId val="171546112"/>
        <c:axId val="171565056"/>
      </c:scatterChart>
      <c:valAx>
        <c:axId val="171546112"/>
        <c:scaling>
          <c:orientation val="minMax"/>
          <c:max val="700"/>
          <c:min val="0"/>
        </c:scaling>
        <c:delete val="0"/>
        <c:axPos val="b"/>
        <c:title>
          <c:tx>
            <c:rich>
              <a:bodyPr/>
              <a:lstStyle/>
              <a:p>
                <a:pPr>
                  <a:defRPr/>
                </a:pPr>
                <a:r>
                  <a:rPr lang="en-US"/>
                  <a:t>Volume [dm3]</a:t>
                </a:r>
              </a:p>
            </c:rich>
          </c:tx>
          <c:overlay val="0"/>
        </c:title>
        <c:numFmt formatCode="0.0" sourceLinked="1"/>
        <c:majorTickMark val="out"/>
        <c:minorTickMark val="none"/>
        <c:tickLblPos val="nextTo"/>
        <c:crossAx val="171565056"/>
        <c:crosses val="autoZero"/>
        <c:crossBetween val="midCat"/>
      </c:valAx>
      <c:valAx>
        <c:axId val="171565056"/>
        <c:scaling>
          <c:orientation val="minMax"/>
        </c:scaling>
        <c:delete val="0"/>
        <c:axPos val="l"/>
        <c:majorGridlines>
          <c:spPr>
            <a:ln>
              <a:solidFill>
                <a:schemeClr val="bg1">
                  <a:lumMod val="75000"/>
                </a:schemeClr>
              </a:solidFill>
            </a:ln>
          </c:spPr>
        </c:majorGridlines>
        <c:title>
          <c:tx>
            <c:rich>
              <a:bodyPr rot="-5400000" vert="horz"/>
              <a:lstStyle/>
              <a:p>
                <a:pPr>
                  <a:defRPr/>
                </a:pPr>
                <a:r>
                  <a:rPr lang="en-US"/>
                  <a:t>Regresssion</a:t>
                </a:r>
                <a:r>
                  <a:rPr lang="en-US" baseline="0"/>
                  <a:t> error in q </a:t>
                </a:r>
                <a:r>
                  <a:rPr lang="en-US"/>
                  <a:t>[%]</a:t>
                </a:r>
              </a:p>
            </c:rich>
          </c:tx>
          <c:overlay val="0"/>
        </c:title>
        <c:numFmt formatCode="0.0%" sourceLinked="1"/>
        <c:majorTickMark val="out"/>
        <c:minorTickMark val="none"/>
        <c:tickLblPos val="nextTo"/>
        <c:crossAx val="171546112"/>
        <c:crosses val="autoZero"/>
        <c:crossBetween val="midCat"/>
      </c:valAx>
    </c:plotArea>
    <c:legend>
      <c:legendPos val="r"/>
      <c:layout>
        <c:manualLayout>
          <c:xMode val="edge"/>
          <c:yMode val="edge"/>
          <c:x val="0.72476029363517047"/>
          <c:y val="5.3573712826001478E-3"/>
          <c:w val="0.23342478674540681"/>
          <c:h val="0.38069301856417143"/>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'qRef-evaluation'!$L$36</c:f>
          <c:strCache>
            <c:ptCount val="1"/>
            <c:pt idx="0">
              <c:v>Built in:N; Auto Defrost:N; Climate class:N; Chill:N</c:v>
            </c:pt>
          </c:strCache>
        </c:strRef>
      </c:tx>
      <c:overlay val="1"/>
    </c:title>
    <c:autoTitleDeleted val="0"/>
    <c:plotArea>
      <c:layout>
        <c:manualLayout>
          <c:layoutTarget val="inner"/>
          <c:xMode val="edge"/>
          <c:yMode val="edge"/>
          <c:x val="0.12358843516653442"/>
          <c:y val="9.8833840880397872E-2"/>
          <c:w val="0.56914492665161043"/>
          <c:h val="0.78993875354721244"/>
        </c:manualLayout>
      </c:layout>
      <c:scatterChart>
        <c:scatterStyle val="lineMarker"/>
        <c:varyColors val="0"/>
        <c:ser>
          <c:idx val="0"/>
          <c:order val="0"/>
          <c:tx>
            <c:v>Cat 1</c:v>
          </c:tx>
          <c:marker>
            <c:symbol val="none"/>
          </c:marker>
          <c:xVal>
            <c:numRef>
              <c:f>'qRef-evaluation'!$B$19:$B$33</c:f>
              <c:numCache>
                <c:formatCode>General</c:formatCode>
                <c:ptCount val="15"/>
                <c:pt idx="0">
                  <c:v>50</c:v>
                </c:pt>
                <c:pt idx="1">
                  <c:v>70</c:v>
                </c:pt>
                <c:pt idx="2">
                  <c:v>90</c:v>
                </c:pt>
                <c:pt idx="3">
                  <c:v>110</c:v>
                </c:pt>
                <c:pt idx="4">
                  <c:v>130</c:v>
                </c:pt>
                <c:pt idx="5">
                  <c:v>150</c:v>
                </c:pt>
                <c:pt idx="6">
                  <c:v>170</c:v>
                </c:pt>
                <c:pt idx="7">
                  <c:v>190</c:v>
                </c:pt>
                <c:pt idx="8">
                  <c:v>220</c:v>
                </c:pt>
                <c:pt idx="9">
                  <c:v>250</c:v>
                </c:pt>
                <c:pt idx="10">
                  <c:v>280</c:v>
                </c:pt>
                <c:pt idx="11">
                  <c:v>310</c:v>
                </c:pt>
                <c:pt idx="12">
                  <c:v>340</c:v>
                </c:pt>
                <c:pt idx="13">
                  <c:v>370</c:v>
                </c:pt>
                <c:pt idx="14">
                  <c:v>400</c:v>
                </c:pt>
              </c:numCache>
            </c:numRef>
          </c:xVal>
          <c:yVal>
            <c:numRef>
              <c:f>'qRef-evaluation'!$F$19:$F$33</c:f>
              <c:numCache>
                <c:formatCode>0.000</c:formatCode>
                <c:ptCount val="15"/>
                <c:pt idx="0">
                  <c:v>0.3045977011494253</c:v>
                </c:pt>
                <c:pt idx="1">
                  <c:v>0.30861811641345521</c:v>
                </c:pt>
                <c:pt idx="2">
                  <c:v>0.31249765011091474</c:v>
                </c:pt>
                <c:pt idx="3">
                  <c:v>0.31624357979529244</c:v>
                </c:pt>
                <c:pt idx="4">
                  <c:v>0.31986269025391401</c:v>
                </c:pt>
                <c:pt idx="5">
                  <c:v>0.32336131452045008</c:v>
                </c:pt>
                <c:pt idx="6">
                  <c:v>0.32674537085836758</c:v>
                </c:pt>
                <c:pt idx="7">
                  <c:v>0.3300203961696685</c:v>
                </c:pt>
                <c:pt idx="8">
                  <c:v>0.33473975562006347</c:v>
                </c:pt>
                <c:pt idx="9">
                  <c:v>0.33924154987633964</c:v>
                </c:pt>
                <c:pt idx="10">
                  <c:v>0.34354048478597216</c:v>
                </c:pt>
                <c:pt idx="11">
                  <c:v>0.34764997005327364</c:v>
                </c:pt>
                <c:pt idx="12">
                  <c:v>0.35158225895996542</c:v>
                </c:pt>
                <c:pt idx="13">
                  <c:v>0.355348570393406</c:v>
                </c:pt>
                <c:pt idx="14">
                  <c:v>0.35895919574216439</c:v>
                </c:pt>
              </c:numCache>
            </c:numRef>
          </c:yVal>
          <c:smooth val="0"/>
        </c:ser>
        <c:ser>
          <c:idx val="1"/>
          <c:order val="1"/>
          <c:tx>
            <c:v>Cat 7: Frozen = 20 dm3</c:v>
          </c:tx>
          <c:spPr>
            <a:ln>
              <a:prstDash val="sysDash"/>
            </a:ln>
          </c:spPr>
          <c:marker>
            <c:symbol val="none"/>
          </c:marker>
          <c:xVal>
            <c:numRef>
              <c:f>'qRef-evaluation'!$T$19:$T$28</c:f>
              <c:numCache>
                <c:formatCode>General</c:formatCode>
                <c:ptCount val="10"/>
                <c:pt idx="0">
                  <c:v>50</c:v>
                </c:pt>
                <c:pt idx="1">
                  <c:v>70</c:v>
                </c:pt>
                <c:pt idx="2">
                  <c:v>90</c:v>
                </c:pt>
                <c:pt idx="3">
                  <c:v>110</c:v>
                </c:pt>
                <c:pt idx="4">
                  <c:v>130</c:v>
                </c:pt>
                <c:pt idx="5">
                  <c:v>150</c:v>
                </c:pt>
                <c:pt idx="6">
                  <c:v>170</c:v>
                </c:pt>
                <c:pt idx="7">
                  <c:v>190</c:v>
                </c:pt>
                <c:pt idx="8">
                  <c:v>220</c:v>
                </c:pt>
                <c:pt idx="9">
                  <c:v>250</c:v>
                </c:pt>
              </c:numCache>
            </c:numRef>
          </c:xVal>
          <c:yVal>
            <c:numRef>
              <c:f>'qRef-evaluation'!$U$19:$U$28</c:f>
              <c:numCache>
                <c:formatCode>0.000</c:formatCode>
                <c:ptCount val="10"/>
                <c:pt idx="0">
                  <c:v>0.4624601277510853</c:v>
                </c:pt>
                <c:pt idx="1">
                  <c:v>0.44956934603545029</c:v>
                </c:pt>
                <c:pt idx="2">
                  <c:v>0.43766454775668712</c:v>
                </c:pt>
                <c:pt idx="3">
                  <c:v>0.42663677672139777</c:v>
                </c:pt>
                <c:pt idx="4">
                  <c:v>0.41639256002798219</c:v>
                </c:pt>
                <c:pt idx="5">
                  <c:v>0.40685125209455109</c:v>
                </c:pt>
                <c:pt idx="6">
                  <c:v>0.3979429072723431</c:v>
                </c:pt>
                <c:pt idx="7">
                  <c:v>0.3896065622540239</c:v>
                </c:pt>
                <c:pt idx="8">
                  <c:v>0.3780595682279132</c:v>
                </c:pt>
                <c:pt idx="9">
                  <c:v>0.36752700876830968</c:v>
                </c:pt>
              </c:numCache>
            </c:numRef>
          </c:yVal>
          <c:smooth val="0"/>
        </c:ser>
        <c:ser>
          <c:idx val="3"/>
          <c:order val="2"/>
          <c:tx>
            <c:v>Cat 7: Frozen=60 dm3</c:v>
          </c:tx>
          <c:spPr>
            <a:ln>
              <a:prstDash val="sysDash"/>
            </a:ln>
          </c:spPr>
          <c:marker>
            <c:symbol val="none"/>
          </c:marker>
          <c:xVal>
            <c:numRef>
              <c:f>'qRef-evaluation'!$T$19:$T$30</c:f>
              <c:numCache>
                <c:formatCode>General</c:formatCode>
                <c:ptCount val="12"/>
                <c:pt idx="0">
                  <c:v>50</c:v>
                </c:pt>
                <c:pt idx="1">
                  <c:v>70</c:v>
                </c:pt>
                <c:pt idx="2">
                  <c:v>90</c:v>
                </c:pt>
                <c:pt idx="3">
                  <c:v>110</c:v>
                </c:pt>
                <c:pt idx="4">
                  <c:v>130</c:v>
                </c:pt>
                <c:pt idx="5">
                  <c:v>150</c:v>
                </c:pt>
                <c:pt idx="6">
                  <c:v>170</c:v>
                </c:pt>
                <c:pt idx="7">
                  <c:v>190</c:v>
                </c:pt>
                <c:pt idx="8">
                  <c:v>220</c:v>
                </c:pt>
                <c:pt idx="9">
                  <c:v>250</c:v>
                </c:pt>
                <c:pt idx="10">
                  <c:v>280</c:v>
                </c:pt>
                <c:pt idx="11">
                  <c:v>310</c:v>
                </c:pt>
              </c:numCache>
            </c:numRef>
          </c:xVal>
          <c:yVal>
            <c:numRef>
              <c:f>'qRef-evaluation'!$W$19:$W$30</c:f>
              <c:numCache>
                <c:formatCode>0.000</c:formatCode>
                <c:ptCount val="12"/>
                <c:pt idx="0">
                  <c:v>0.41735432034256009</c:v>
                </c:pt>
                <c:pt idx="1">
                  <c:v>0.40787755423132133</c:v>
                </c:pt>
                <c:pt idx="2">
                  <c:v>0.39902327527723008</c:v>
                </c:pt>
                <c:pt idx="3">
                  <c:v>0.3907321010920744</c:v>
                </c:pt>
                <c:pt idx="4">
                  <c:v>0.3829519695860924</c:v>
                </c:pt>
                <c:pt idx="5">
                  <c:v>0.37563704468980325</c:v>
                </c:pt>
                <c:pt idx="6">
                  <c:v>0.36874681267197568</c:v>
                </c:pt>
                <c:pt idx="7">
                  <c:v>0.3622453314163413</c:v>
                </c:pt>
                <c:pt idx="8">
                  <c:v>0.35315296957537196</c:v>
                </c:pt>
                <c:pt idx="9">
                  <c:v>0.34477006040339231</c:v>
                </c:pt>
                <c:pt idx="10">
                  <c:v>0.33701668672166085</c:v>
                </c:pt>
                <c:pt idx="11">
                  <c:v>0.32982450011876979</c:v>
                </c:pt>
              </c:numCache>
            </c:numRef>
          </c:yVal>
          <c:smooth val="0"/>
        </c:ser>
        <c:ser>
          <c:idx val="5"/>
          <c:order val="3"/>
          <c:tx>
            <c:v>Cat 7: Frozen=100 dm3</c:v>
          </c:tx>
          <c:spPr>
            <a:ln>
              <a:prstDash val="sysDash"/>
            </a:ln>
          </c:spPr>
          <c:marker>
            <c:symbol val="none"/>
          </c:marker>
          <c:xVal>
            <c:numRef>
              <c:f>'qRef-evaluation'!$T$19:$T$33</c:f>
              <c:numCache>
                <c:formatCode>General</c:formatCode>
                <c:ptCount val="15"/>
                <c:pt idx="0">
                  <c:v>50</c:v>
                </c:pt>
                <c:pt idx="1">
                  <c:v>70</c:v>
                </c:pt>
                <c:pt idx="2">
                  <c:v>90</c:v>
                </c:pt>
                <c:pt idx="3">
                  <c:v>110</c:v>
                </c:pt>
                <c:pt idx="4">
                  <c:v>130</c:v>
                </c:pt>
                <c:pt idx="5">
                  <c:v>150</c:v>
                </c:pt>
                <c:pt idx="6">
                  <c:v>170</c:v>
                </c:pt>
                <c:pt idx="7">
                  <c:v>190</c:v>
                </c:pt>
                <c:pt idx="8">
                  <c:v>220</c:v>
                </c:pt>
                <c:pt idx="9">
                  <c:v>250</c:v>
                </c:pt>
                <c:pt idx="10">
                  <c:v>280</c:v>
                </c:pt>
                <c:pt idx="11">
                  <c:v>310</c:v>
                </c:pt>
                <c:pt idx="12">
                  <c:v>340</c:v>
                </c:pt>
                <c:pt idx="13">
                  <c:v>370</c:v>
                </c:pt>
                <c:pt idx="14">
                  <c:v>400</c:v>
                </c:pt>
              </c:numCache>
            </c:numRef>
          </c:xVal>
          <c:yVal>
            <c:numRef>
              <c:f>'qRef-evaluation'!$Y$19:$Y$33</c:f>
              <c:numCache>
                <c:formatCode>0.000</c:formatCode>
                <c:ptCount val="15"/>
                <c:pt idx="0">
                  <c:v>0.38409378960709756</c:v>
                </c:pt>
                <c:pt idx="1">
                  <c:v>0.37681005634527925</c:v>
                </c:pt>
                <c:pt idx="2">
                  <c:v>0.36994555404316781</c:v>
                </c:pt>
                <c:pt idx="3">
                  <c:v>0.36346510058053194</c:v>
                </c:pt>
                <c:pt idx="4">
                  <c:v>0.35733734338472839</c:v>
                </c:pt>
                <c:pt idx="5">
                  <c:v>0.35153425217991657</c:v>
                </c:pt>
                <c:pt idx="6">
                  <c:v>0.34603069028224104</c:v>
                </c:pt>
                <c:pt idx="7">
                  <c:v>0.34080405060831981</c:v>
                </c:pt>
                <c:pt idx="8">
                  <c:v>0.33343926239674254</c:v>
                </c:pt>
                <c:pt idx="9">
                  <c:v>0.32659132476799058</c:v>
                </c:pt>
                <c:pt idx="10">
                  <c:v>0.32020767435265368</c:v>
                </c:pt>
                <c:pt idx="11">
                  <c:v>0.31424264162886378</c:v>
                </c:pt>
                <c:pt idx="12">
                  <c:v>0.30865635661606972</c:v>
                </c:pt>
                <c:pt idx="13">
                  <c:v>0.30341385660257802</c:v>
                </c:pt>
                <c:pt idx="14">
                  <c:v>0.29848435368922521</c:v>
                </c:pt>
              </c:numCache>
            </c:numRef>
          </c:yVal>
          <c:smooth val="0"/>
        </c:ser>
        <c:ser>
          <c:idx val="7"/>
          <c:order val="4"/>
          <c:tx>
            <c:v>Cat 7: Frozen=140 dm3</c:v>
          </c:tx>
          <c:spPr>
            <a:ln>
              <a:prstDash val="sysDash"/>
            </a:ln>
          </c:spPr>
          <c:marker>
            <c:symbol val="none"/>
          </c:marker>
          <c:xVal>
            <c:numRef>
              <c:f>'qRef-evaluation'!$T$19:$T$33</c:f>
              <c:numCache>
                <c:formatCode>General</c:formatCode>
                <c:ptCount val="15"/>
                <c:pt idx="0">
                  <c:v>50</c:v>
                </c:pt>
                <c:pt idx="1">
                  <c:v>70</c:v>
                </c:pt>
                <c:pt idx="2">
                  <c:v>90</c:v>
                </c:pt>
                <c:pt idx="3">
                  <c:v>110</c:v>
                </c:pt>
                <c:pt idx="4">
                  <c:v>130</c:v>
                </c:pt>
                <c:pt idx="5">
                  <c:v>150</c:v>
                </c:pt>
                <c:pt idx="6">
                  <c:v>170</c:v>
                </c:pt>
                <c:pt idx="7">
                  <c:v>190</c:v>
                </c:pt>
                <c:pt idx="8">
                  <c:v>220</c:v>
                </c:pt>
                <c:pt idx="9">
                  <c:v>250</c:v>
                </c:pt>
                <c:pt idx="10">
                  <c:v>280</c:v>
                </c:pt>
                <c:pt idx="11">
                  <c:v>310</c:v>
                </c:pt>
                <c:pt idx="12">
                  <c:v>340</c:v>
                </c:pt>
                <c:pt idx="13">
                  <c:v>370</c:v>
                </c:pt>
                <c:pt idx="14">
                  <c:v>400</c:v>
                </c:pt>
              </c:numCache>
            </c:numRef>
          </c:xVal>
          <c:yVal>
            <c:numRef>
              <c:f>'qRef-evaluation'!$AA$19:$AA$33</c:f>
              <c:numCache>
                <c:formatCode>0.000</c:formatCode>
                <c:ptCount val="15"/>
                <c:pt idx="0">
                  <c:v>0.35855405426530279</c:v>
                </c:pt>
                <c:pt idx="1">
                  <c:v>0.35276474080237846</c:v>
                </c:pt>
                <c:pt idx="2">
                  <c:v>0.34727194973030961</c:v>
                </c:pt>
                <c:pt idx="3">
                  <c:v>0.34205346856335772</c:v>
                </c:pt>
                <c:pt idx="4">
                  <c:v>0.3370892493498065</c:v>
                </c:pt>
                <c:pt idx="5">
                  <c:v>0.33236115128392302</c:v>
                </c:pt>
                <c:pt idx="6">
                  <c:v>0.32785271919242653</c:v>
                </c:pt>
                <c:pt idx="7">
                  <c:v>0.32354899219438221</c:v>
                </c:pt>
                <c:pt idx="8">
                  <c:v>0.3174477301336362</c:v>
                </c:pt>
                <c:pt idx="9">
                  <c:v>0.3117355124349121</c:v>
                </c:pt>
                <c:pt idx="10">
                  <c:v>0.30637627793970862</c:v>
                </c:pt>
                <c:pt idx="11">
                  <c:v>0.30133828867228024</c:v>
                </c:pt>
                <c:pt idx="12">
                  <c:v>0.29659350083701902</c:v>
                </c:pt>
                <c:pt idx="13">
                  <c:v>0.29211704253081455</c:v>
                </c:pt>
                <c:pt idx="14">
                  <c:v>0.28788677762874298</c:v>
                </c:pt>
              </c:numCache>
            </c:numRef>
          </c:yVal>
          <c:smooth val="0"/>
        </c:ser>
        <c:ser>
          <c:idx val="6"/>
          <c:order val="5"/>
          <c:tx>
            <c:v>Cat 7: Fresh = 73%</c:v>
          </c:tx>
          <c:spPr>
            <a:ln>
              <a:solidFill>
                <a:schemeClr val="tx1"/>
              </a:solidFill>
              <a:prstDash val="sysDot"/>
            </a:ln>
          </c:spPr>
          <c:marker>
            <c:symbol val="none"/>
          </c:marker>
          <c:xVal>
            <c:numRef>
              <c:f>'qRef-evaluation'!$BT$19:$BT$33</c:f>
              <c:numCache>
                <c:formatCode>General</c:formatCode>
                <c:ptCount val="15"/>
                <c:pt idx="0">
                  <c:v>50</c:v>
                </c:pt>
                <c:pt idx="1">
                  <c:v>70</c:v>
                </c:pt>
                <c:pt idx="2">
                  <c:v>90</c:v>
                </c:pt>
                <c:pt idx="3">
                  <c:v>110</c:v>
                </c:pt>
                <c:pt idx="4">
                  <c:v>130</c:v>
                </c:pt>
                <c:pt idx="5">
                  <c:v>150</c:v>
                </c:pt>
                <c:pt idx="6">
                  <c:v>170</c:v>
                </c:pt>
                <c:pt idx="7">
                  <c:v>190</c:v>
                </c:pt>
                <c:pt idx="8">
                  <c:v>220</c:v>
                </c:pt>
                <c:pt idx="9">
                  <c:v>250</c:v>
                </c:pt>
                <c:pt idx="10">
                  <c:v>280</c:v>
                </c:pt>
                <c:pt idx="11">
                  <c:v>310</c:v>
                </c:pt>
                <c:pt idx="12">
                  <c:v>340</c:v>
                </c:pt>
                <c:pt idx="13">
                  <c:v>370</c:v>
                </c:pt>
                <c:pt idx="14">
                  <c:v>400</c:v>
                </c:pt>
              </c:numCache>
            </c:numRef>
          </c:xVal>
          <c:yVal>
            <c:numRef>
              <c:f>'qRef-evaluation'!$BY$19:$BY$33</c:f>
              <c:numCache>
                <c:formatCode>0.000</c:formatCode>
                <c:ptCount val="15"/>
                <c:pt idx="0">
                  <c:v>0.42730221979300737</c:v>
                </c:pt>
                <c:pt idx="1">
                  <c:v>0.39929004898503884</c:v>
                </c:pt>
                <c:pt idx="2">
                  <c:v>0.37651876291733183</c:v>
                </c:pt>
                <c:pt idx="3">
                  <c:v>0.35764337972198268</c:v>
                </c:pt>
                <c:pt idx="4">
                  <c:v>0.3417428722523127</c:v>
                </c:pt>
                <c:pt idx="5">
                  <c:v>0.3281653255139842</c:v>
                </c:pt>
                <c:pt idx="6">
                  <c:v>0.31643633875620847</c:v>
                </c:pt>
                <c:pt idx="7">
                  <c:v>0.30620245574905819</c:v>
                </c:pt>
                <c:pt idx="8">
                  <c:v>0.29308417145892679</c:v>
                </c:pt>
                <c:pt idx="9">
                  <c:v>0.28207156617616913</c:v>
                </c:pt>
                <c:pt idx="10">
                  <c:v>0.27269531748007214</c:v>
                </c:pt>
                <c:pt idx="11">
                  <c:v>0.26461593016372648</c:v>
                </c:pt>
                <c:pt idx="12">
                  <c:v>0.25758174788379157</c:v>
                </c:pt>
                <c:pt idx="13">
                  <c:v>0.25140227049045027</c:v>
                </c:pt>
                <c:pt idx="14">
                  <c:v>0.24593064070763329</c:v>
                </c:pt>
              </c:numCache>
            </c:numRef>
          </c:yVal>
          <c:smooth val="0"/>
        </c:ser>
        <c:ser>
          <c:idx val="2"/>
          <c:order val="6"/>
          <c:tx>
            <c:v>Cat 8</c:v>
          </c:tx>
          <c:marker>
            <c:symbol val="none"/>
          </c:marker>
          <c:xVal>
            <c:numRef>
              <c:f>'qRef-evaluation'!$H$19:$H$33</c:f>
              <c:numCache>
                <c:formatCode>General</c:formatCode>
                <c:ptCount val="15"/>
                <c:pt idx="0">
                  <c:v>50</c:v>
                </c:pt>
                <c:pt idx="1">
                  <c:v>70</c:v>
                </c:pt>
                <c:pt idx="2">
                  <c:v>90</c:v>
                </c:pt>
                <c:pt idx="3">
                  <c:v>110</c:v>
                </c:pt>
                <c:pt idx="4">
                  <c:v>130</c:v>
                </c:pt>
                <c:pt idx="5">
                  <c:v>150</c:v>
                </c:pt>
                <c:pt idx="6">
                  <c:v>170</c:v>
                </c:pt>
                <c:pt idx="7">
                  <c:v>190</c:v>
                </c:pt>
                <c:pt idx="8">
                  <c:v>220</c:v>
                </c:pt>
                <c:pt idx="9">
                  <c:v>250</c:v>
                </c:pt>
                <c:pt idx="10">
                  <c:v>280</c:v>
                </c:pt>
                <c:pt idx="11">
                  <c:v>310</c:v>
                </c:pt>
                <c:pt idx="12">
                  <c:v>340</c:v>
                </c:pt>
                <c:pt idx="13">
                  <c:v>370</c:v>
                </c:pt>
                <c:pt idx="14">
                  <c:v>400</c:v>
                </c:pt>
              </c:numCache>
            </c:numRef>
          </c:xVal>
          <c:yVal>
            <c:numRef>
              <c:f>'qRef-evaluation'!$L$19:$L$33</c:f>
              <c:numCache>
                <c:formatCode>0.000</c:formatCode>
                <c:ptCount val="15"/>
                <c:pt idx="0">
                  <c:v>0.35059023844158282</c:v>
                </c:pt>
                <c:pt idx="1">
                  <c:v>0.34598145256671275</c:v>
                </c:pt>
                <c:pt idx="2">
                  <c:v>0.34188217645508606</c:v>
                </c:pt>
                <c:pt idx="3">
                  <c:v>0.33821234492009122</c:v>
                </c:pt>
                <c:pt idx="4">
                  <c:v>0.33490783323544154</c:v>
                </c:pt>
                <c:pt idx="5">
                  <c:v>0.3319166781737935</c:v>
                </c:pt>
                <c:pt idx="6">
                  <c:v>0.3291963254229211</c:v>
                </c:pt>
                <c:pt idx="7">
                  <c:v>0.32671159223553131</c:v>
                </c:pt>
                <c:pt idx="8">
                  <c:v>0.32336340045653367</c:v>
                </c:pt>
                <c:pt idx="9">
                  <c:v>0.32040019017301608</c:v>
                </c:pt>
                <c:pt idx="10">
                  <c:v>0.31775917232492751</c:v>
                </c:pt>
                <c:pt idx="11">
                  <c:v>0.31539050802862761</c:v>
                </c:pt>
                <c:pt idx="12">
                  <c:v>0.3132541335864566</c:v>
                </c:pt>
                <c:pt idx="13">
                  <c:v>0.31131747592852399</c:v>
                </c:pt>
                <c:pt idx="14">
                  <c:v>0.30955378015259333</c:v>
                </c:pt>
              </c:numCache>
            </c:numRef>
          </c:yVal>
          <c:smooth val="0"/>
        </c:ser>
        <c:ser>
          <c:idx val="4"/>
          <c:order val="7"/>
          <c:tx>
            <c:v>Cat 9</c:v>
          </c:tx>
          <c:spPr>
            <a:ln>
              <a:solidFill>
                <a:srgbClr val="FF0000"/>
              </a:solidFill>
              <a:prstDash val="solid"/>
            </a:ln>
          </c:spPr>
          <c:marker>
            <c:symbol val="none"/>
          </c:marker>
          <c:xVal>
            <c:numRef>
              <c:f>'qRef-evaluation'!$N$19:$N$33</c:f>
              <c:numCache>
                <c:formatCode>General</c:formatCode>
                <c:ptCount val="15"/>
                <c:pt idx="0">
                  <c:v>50</c:v>
                </c:pt>
                <c:pt idx="1">
                  <c:v>70</c:v>
                </c:pt>
                <c:pt idx="2">
                  <c:v>90</c:v>
                </c:pt>
                <c:pt idx="3">
                  <c:v>110</c:v>
                </c:pt>
                <c:pt idx="4">
                  <c:v>130</c:v>
                </c:pt>
                <c:pt idx="5">
                  <c:v>150</c:v>
                </c:pt>
                <c:pt idx="6">
                  <c:v>170</c:v>
                </c:pt>
                <c:pt idx="7">
                  <c:v>190</c:v>
                </c:pt>
                <c:pt idx="8">
                  <c:v>220</c:v>
                </c:pt>
                <c:pt idx="9">
                  <c:v>250</c:v>
                </c:pt>
                <c:pt idx="10">
                  <c:v>280</c:v>
                </c:pt>
                <c:pt idx="11">
                  <c:v>310</c:v>
                </c:pt>
                <c:pt idx="12">
                  <c:v>340</c:v>
                </c:pt>
                <c:pt idx="13">
                  <c:v>370</c:v>
                </c:pt>
                <c:pt idx="14">
                  <c:v>400</c:v>
                </c:pt>
              </c:numCache>
            </c:numRef>
          </c:xVal>
          <c:yVal>
            <c:numRef>
              <c:f>'qRef-evaluation'!$R$19:$R$33</c:f>
              <c:numCache>
                <c:formatCode>0.000</c:formatCode>
                <c:ptCount val="15"/>
                <c:pt idx="0">
                  <c:v>0.38828176040862383</c:v>
                </c:pt>
                <c:pt idx="1">
                  <c:v>0.38385484937093184</c:v>
                </c:pt>
                <c:pt idx="2">
                  <c:v>0.37990416927268295</c:v>
                </c:pt>
                <c:pt idx="3">
                  <c:v>0.37635679579908854</c:v>
                </c:pt>
                <c:pt idx="4">
                  <c:v>0.37315397057838268</c:v>
                </c:pt>
                <c:pt idx="5">
                  <c:v>0.37024782072931406</c:v>
                </c:pt>
                <c:pt idx="6">
                  <c:v>0.36759894965497392</c:v>
                </c:pt>
                <c:pt idx="7">
                  <c:v>0.36517464056874094</c:v>
                </c:pt>
                <c:pt idx="8">
                  <c:v>0.36190049798136892</c:v>
                </c:pt>
                <c:pt idx="9">
                  <c:v>0.35899573837317023</c:v>
                </c:pt>
                <c:pt idx="10">
                  <c:v>0.3564011898748386</c:v>
                </c:pt>
                <c:pt idx="11">
                  <c:v>0.35406967838185249</c:v>
                </c:pt>
                <c:pt idx="12">
                  <c:v>0.35196313340686369</c:v>
                </c:pt>
                <c:pt idx="13">
                  <c:v>0.35005049313958486</c:v>
                </c:pt>
                <c:pt idx="14">
                  <c:v>0.34830616256214592</c:v>
                </c:pt>
              </c:numCache>
            </c:numRef>
          </c:yVal>
          <c:smooth val="0"/>
        </c:ser>
        <c:dLbls>
          <c:showLegendKey val="0"/>
          <c:showVal val="0"/>
          <c:showCatName val="0"/>
          <c:showSerName val="0"/>
          <c:showPercent val="0"/>
          <c:showBubbleSize val="0"/>
        </c:dLbls>
        <c:axId val="166545280"/>
        <c:axId val="166563840"/>
      </c:scatterChart>
      <c:valAx>
        <c:axId val="166545280"/>
        <c:scaling>
          <c:orientation val="minMax"/>
          <c:max val="400"/>
        </c:scaling>
        <c:delete val="0"/>
        <c:axPos val="b"/>
        <c:title>
          <c:tx>
            <c:rich>
              <a:bodyPr/>
              <a:lstStyle/>
              <a:p>
                <a:pPr>
                  <a:defRPr/>
                </a:pPr>
                <a:r>
                  <a:rPr lang="en-US"/>
                  <a:t>Compartment volume (Fresh food for Cat 7) [dm3]</a:t>
                </a:r>
              </a:p>
            </c:rich>
          </c:tx>
          <c:overlay val="0"/>
        </c:title>
        <c:numFmt formatCode="General" sourceLinked="1"/>
        <c:majorTickMark val="out"/>
        <c:minorTickMark val="none"/>
        <c:tickLblPos val="nextTo"/>
        <c:crossAx val="166563840"/>
        <c:crosses val="autoZero"/>
        <c:crossBetween val="midCat"/>
      </c:valAx>
      <c:valAx>
        <c:axId val="166563840"/>
        <c:scaling>
          <c:orientation val="minMax"/>
          <c:max val="0.5"/>
          <c:min val="0.2"/>
        </c:scaling>
        <c:delete val="0"/>
        <c:axPos val="l"/>
        <c:majorGridlines>
          <c:spPr>
            <a:ln>
              <a:solidFill>
                <a:schemeClr val="bg1">
                  <a:lumMod val="75000"/>
                </a:schemeClr>
              </a:solidFill>
            </a:ln>
          </c:spPr>
        </c:majorGridlines>
        <c:title>
          <c:tx>
            <c:rich>
              <a:bodyPr rot="-5400000" vert="horz"/>
              <a:lstStyle/>
              <a:p>
                <a:pPr>
                  <a:defRPr/>
                </a:pPr>
                <a:r>
                  <a:rPr lang="en-US"/>
                  <a:t>Ratio of SAE (proposed / current)</a:t>
                </a:r>
              </a:p>
            </c:rich>
          </c:tx>
          <c:overlay val="0"/>
        </c:title>
        <c:numFmt formatCode="0.00" sourceLinked="0"/>
        <c:majorTickMark val="out"/>
        <c:minorTickMark val="none"/>
        <c:tickLblPos val="nextTo"/>
        <c:crossAx val="166545280"/>
        <c:crosses val="autoZero"/>
        <c:crossBetween val="midCat"/>
      </c:valAx>
    </c:plotArea>
    <c:legend>
      <c:legendPos val="r"/>
      <c:overlay val="0"/>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0</xdr:colOff>
      <xdr:row>73</xdr:row>
      <xdr:rowOff>1</xdr:rowOff>
    </xdr:from>
    <xdr:to>
      <xdr:col>12</xdr:col>
      <xdr:colOff>0</xdr:colOff>
      <xdr:row>92</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73</xdr:row>
      <xdr:rowOff>0</xdr:rowOff>
    </xdr:from>
    <xdr:to>
      <xdr:col>26</xdr:col>
      <xdr:colOff>219074</xdr:colOff>
      <xdr:row>92</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0</xdr:colOff>
      <xdr:row>75</xdr:row>
      <xdr:rowOff>0</xdr:rowOff>
    </xdr:from>
    <xdr:to>
      <xdr:col>41</xdr:col>
      <xdr:colOff>0</xdr:colOff>
      <xdr:row>95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219075</xdr:colOff>
      <xdr:row>66</xdr:row>
      <xdr:rowOff>157162</xdr:rowOff>
    </xdr:from>
    <xdr:to>
      <xdr:col>1</xdr:col>
      <xdr:colOff>2867025</xdr:colOff>
      <xdr:row>80</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0</xdr:colOff>
      <xdr:row>39</xdr:row>
      <xdr:rowOff>0</xdr:rowOff>
    </xdr:from>
    <xdr:to>
      <xdr:col>50</xdr:col>
      <xdr:colOff>0</xdr:colOff>
      <xdr:row>57</xdr:row>
      <xdr:rowOff>190499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0</xdr:colOff>
      <xdr:row>17</xdr:row>
      <xdr:rowOff>0</xdr:rowOff>
    </xdr:from>
    <xdr:to>
      <xdr:col>50</xdr:col>
      <xdr:colOff>0</xdr:colOff>
      <xdr:row>37</xdr:row>
      <xdr:rowOff>190499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0</xdr:colOff>
      <xdr:row>59</xdr:row>
      <xdr:rowOff>0</xdr:rowOff>
    </xdr:from>
    <xdr:to>
      <xdr:col>50</xdr:col>
      <xdr:colOff>0</xdr:colOff>
      <xdr:row>77</xdr:row>
      <xdr:rowOff>190499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33</xdr:row>
      <xdr:rowOff>171450</xdr:rowOff>
    </xdr:from>
    <xdr:to>
      <xdr:col>10</xdr:col>
      <xdr:colOff>257175</xdr:colOff>
      <xdr:row>61</xdr:row>
      <xdr:rowOff>119062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14"/>
  <sheetViews>
    <sheetView tabSelected="1" workbookViewId="0">
      <pane xSplit="2" topLeftCell="C1" activePane="topRight" state="frozenSplit"/>
      <selection pane="topRight" activeCell="C20" sqref="C20"/>
    </sheetView>
  </sheetViews>
  <sheetFormatPr defaultRowHeight="15" x14ac:dyDescent="0.25"/>
  <cols>
    <col min="1" max="1" width="13.28515625" bestFit="1" customWidth="1"/>
    <col min="2" max="2" width="52.42578125" customWidth="1"/>
    <col min="7" max="7" width="4.85546875" customWidth="1"/>
    <col min="12" max="12" width="3" customWidth="1"/>
    <col min="13" max="13" width="9.7109375" customWidth="1"/>
    <col min="14" max="14" width="6.5703125" customWidth="1"/>
    <col min="15" max="15" width="9.42578125" customWidth="1"/>
    <col min="16" max="16" width="7.42578125" customWidth="1"/>
    <col min="17" max="17" width="3.42578125" customWidth="1"/>
    <col min="22" max="22" width="4.85546875" customWidth="1"/>
    <col min="27" max="27" width="3.28515625" customWidth="1"/>
    <col min="28" max="28" width="9.7109375" customWidth="1"/>
    <col min="29" max="29" width="6.5703125" customWidth="1"/>
    <col min="30" max="30" width="9.42578125" customWidth="1"/>
    <col min="31" max="31" width="7.42578125" customWidth="1"/>
    <col min="32" max="32" width="4" customWidth="1"/>
    <col min="37" max="37" width="4.28515625" customWidth="1"/>
    <col min="43" max="43" width="9.42578125" customWidth="1"/>
  </cols>
  <sheetData>
    <row r="1" spans="1:56" x14ac:dyDescent="0.25">
      <c r="A1" s="1" t="s">
        <v>136</v>
      </c>
      <c r="AH1" s="6" t="s">
        <v>106</v>
      </c>
      <c r="AI1" s="1">
        <v>0.5</v>
      </c>
      <c r="AL1" s="19" t="s">
        <v>128</v>
      </c>
      <c r="AM1" s="18">
        <f>2.15*(1-rVFresh)+1*(rVFresh)</f>
        <v>1.575</v>
      </c>
      <c r="AP1" s="6" t="s">
        <v>182</v>
      </c>
      <c r="AQ1" s="1">
        <v>0.84</v>
      </c>
      <c r="AZ1" s="19" t="s">
        <v>128</v>
      </c>
      <c r="BA1" s="18">
        <f>2.15*(1-rVFresh)+0.4*(rVFresh)</f>
        <v>1.2749999999999999</v>
      </c>
      <c r="BC1" s="6" t="s">
        <v>182</v>
      </c>
      <c r="BD1" s="1">
        <v>0.68199940944288351</v>
      </c>
    </row>
    <row r="2" spans="1:56" ht="21" x14ac:dyDescent="0.35">
      <c r="A2" s="22" t="s">
        <v>187</v>
      </c>
      <c r="B2" s="22"/>
      <c r="C2" s="32" t="s">
        <v>90</v>
      </c>
      <c r="D2" s="15"/>
      <c r="E2" s="15"/>
      <c r="F2" s="15"/>
      <c r="G2" s="15"/>
      <c r="H2" s="15"/>
      <c r="I2" s="15"/>
      <c r="J2" s="15"/>
      <c r="K2" s="15"/>
      <c r="L2" s="15"/>
      <c r="M2" s="15"/>
      <c r="N2" s="15"/>
      <c r="O2" s="15"/>
      <c r="P2" s="15"/>
      <c r="R2" s="34" t="s">
        <v>98</v>
      </c>
      <c r="S2" s="17"/>
      <c r="T2" s="17"/>
      <c r="U2" s="17"/>
      <c r="V2" s="33"/>
      <c r="W2" s="17"/>
      <c r="X2" s="17"/>
      <c r="Y2" s="17"/>
      <c r="Z2" s="17"/>
      <c r="AA2" s="17"/>
      <c r="AB2" s="17"/>
      <c r="AC2" s="17"/>
      <c r="AD2" s="17"/>
      <c r="AE2" s="17"/>
      <c r="AG2" s="36" t="s">
        <v>102</v>
      </c>
      <c r="AH2" s="16"/>
      <c r="AI2" s="16"/>
      <c r="AJ2" s="16"/>
      <c r="AK2" s="35"/>
      <c r="AL2" s="16"/>
      <c r="AM2" s="16"/>
      <c r="AN2" s="16"/>
      <c r="AO2" s="16"/>
      <c r="AZ2" s="64" t="s">
        <v>186</v>
      </c>
      <c r="BA2" s="16"/>
      <c r="BB2" s="16"/>
      <c r="BC2" s="16"/>
    </row>
    <row r="3" spans="1:56" x14ac:dyDescent="0.25">
      <c r="C3" t="s">
        <v>89</v>
      </c>
      <c r="H3" s="22" t="s">
        <v>100</v>
      </c>
      <c r="I3" s="22"/>
      <c r="J3" s="22"/>
      <c r="K3" s="22"/>
      <c r="M3" s="18"/>
      <c r="N3" s="18"/>
      <c r="O3" s="18"/>
      <c r="R3" t="s">
        <v>89</v>
      </c>
      <c r="W3" s="22" t="s">
        <v>100</v>
      </c>
      <c r="X3" s="22"/>
      <c r="Y3" s="22"/>
      <c r="Z3" s="22"/>
      <c r="AB3" s="18"/>
      <c r="AC3" s="18"/>
      <c r="AD3" s="18"/>
      <c r="AG3" t="s">
        <v>89</v>
      </c>
      <c r="AL3" s="22" t="s">
        <v>100</v>
      </c>
      <c r="AM3" s="22"/>
      <c r="AN3" s="22"/>
      <c r="AO3" s="22"/>
      <c r="AZ3" t="s">
        <v>100</v>
      </c>
    </row>
    <row r="4" spans="1:56" x14ac:dyDescent="0.25">
      <c r="C4">
        <v>1</v>
      </c>
      <c r="D4">
        <v>2</v>
      </c>
      <c r="E4">
        <v>3</v>
      </c>
      <c r="F4">
        <v>4</v>
      </c>
      <c r="H4">
        <v>1</v>
      </c>
      <c r="I4">
        <v>2</v>
      </c>
      <c r="J4">
        <v>3</v>
      </c>
      <c r="K4">
        <v>4</v>
      </c>
      <c r="M4" s="37" t="s">
        <v>132</v>
      </c>
      <c r="N4" s="18"/>
      <c r="O4" s="37" t="s">
        <v>134</v>
      </c>
      <c r="R4">
        <v>1</v>
      </c>
      <c r="S4">
        <v>2</v>
      </c>
      <c r="T4">
        <v>3</v>
      </c>
      <c r="U4">
        <v>4</v>
      </c>
      <c r="W4">
        <v>1</v>
      </c>
      <c r="X4">
        <v>2</v>
      </c>
      <c r="Y4">
        <v>3</v>
      </c>
      <c r="Z4">
        <v>4</v>
      </c>
      <c r="AB4" s="37" t="s">
        <v>132</v>
      </c>
      <c r="AC4" s="18"/>
      <c r="AD4" s="37" t="s">
        <v>134</v>
      </c>
      <c r="AG4">
        <v>1</v>
      </c>
      <c r="AH4">
        <v>2</v>
      </c>
      <c r="AI4">
        <v>3</v>
      </c>
      <c r="AJ4">
        <v>4</v>
      </c>
      <c r="AL4">
        <v>1</v>
      </c>
      <c r="AM4">
        <v>2</v>
      </c>
      <c r="AN4">
        <v>3</v>
      </c>
      <c r="AO4">
        <v>4</v>
      </c>
      <c r="AZ4">
        <v>1</v>
      </c>
      <c r="BA4">
        <v>2</v>
      </c>
      <c r="BB4">
        <v>3</v>
      </c>
      <c r="BC4">
        <v>4</v>
      </c>
    </row>
    <row r="5" spans="1:56" x14ac:dyDescent="0.25">
      <c r="A5" t="s">
        <v>0</v>
      </c>
      <c r="B5" t="s">
        <v>1</v>
      </c>
      <c r="C5" s="2">
        <f>(C16-2*C22)*(C17-2*C22)*(C18-C20-2*C22)-C21^2*C16</f>
        <v>4.1876711999999996E-2</v>
      </c>
      <c r="D5" s="2">
        <f t="shared" ref="D5:F5" si="0">(D16-2*D22)*(D17-2*D22)*(D18-D20-2*D22)-D21^2*D16</f>
        <v>0.10735179199999997</v>
      </c>
      <c r="E5" s="2">
        <f t="shared" si="0"/>
        <v>0.18380998400000004</v>
      </c>
      <c r="F5" s="2">
        <f t="shared" si="0"/>
        <v>0.33148799999999995</v>
      </c>
      <c r="H5" s="23">
        <f>(H16-2*H22)*(H17-2*H22)*(H18-H20-2*H22)-H21^2*(H16-2*H22)</f>
        <v>4.4756711999999997E-2</v>
      </c>
      <c r="I5" s="23">
        <f t="shared" ref="I5:K5" si="1">(I16-2*I22)*(I17-2*I22)*(I18-I20-2*I22)-I21^2*(I16-2*I22)</f>
        <v>0.11063179199999998</v>
      </c>
      <c r="J5" s="23">
        <f t="shared" si="1"/>
        <v>0.19462500000000002</v>
      </c>
      <c r="K5" s="48">
        <f t="shared" si="1"/>
        <v>0.35452099999999998</v>
      </c>
      <c r="M5" s="38">
        <f t="shared" ref="M5:O5" si="2">(M16-2*M22)*(M17-2*M22)*(M18-M20-2*M22)-M21^2*(M16-2*M22)</f>
        <v>0.33708799999999994</v>
      </c>
      <c r="N5" s="18"/>
      <c r="O5" s="38">
        <f t="shared" si="2"/>
        <v>0.29720672601866777</v>
      </c>
      <c r="R5" s="2">
        <f>(R16-2*R22)*(R17-2*R22)*(R18-R20-2*R22)-R21^2*R16</f>
        <v>8.2000000000000003E-2</v>
      </c>
      <c r="S5" s="2">
        <f t="shared" ref="S5:U5" si="3">(S16-2*S22)*(S17-2*S22)*(S18-S20-2*S22)-S21^2*S16</f>
        <v>0.11079300000000004</v>
      </c>
      <c r="T5" s="2">
        <f t="shared" si="3"/>
        <v>0.22581200000000001</v>
      </c>
      <c r="U5" s="2">
        <f t="shared" si="3"/>
        <v>0.35499599999999998</v>
      </c>
      <c r="W5" s="48">
        <f>(W16-2*W22)*(W17-2*W22)*(W18-W20-2*W22)-W21^2*(W16-2*W22)</f>
        <v>8.8000000000000009E-2</v>
      </c>
      <c r="X5" s="48">
        <f t="shared" ref="X5:Z5" si="4">(X16-2*X22)*(X17-2*X22)*(X18-X20-2*X22)-X21^2*(X16-2*X22)</f>
        <v>0.11799300000000004</v>
      </c>
      <c r="Y5" s="48">
        <f t="shared" si="4"/>
        <v>0.26399999999999996</v>
      </c>
      <c r="Z5" s="48">
        <f t="shared" si="4"/>
        <v>0.44249999999999995</v>
      </c>
      <c r="AB5" s="38">
        <f t="shared" ref="AB5" si="5">(AB16-2*AB22)*(AB17-2*AB22)*(AB18-AB20-2*AB22)-AB21^2*(AB16-2*AB22)</f>
        <v>0.36459599999999998</v>
      </c>
      <c r="AC5" s="18"/>
      <c r="AD5" s="38">
        <f t="shared" ref="AD5" si="6">(AD16-2*AD22)*(AD17-2*AD22)*(AD18-AD20-2*AD22)-AD21^2*(AD16-2*AD22)</f>
        <v>0.39902111870728668</v>
      </c>
      <c r="AG5" s="2">
        <f>(AG16-2*AG22)*(AG17-2*AG22)*(AG18-AG20-2*AG22)-AG21^2*AG16-(AG16-2*AG22)*(AG17-2*AG22)*AG22</f>
        <v>0.16869600000000001</v>
      </c>
      <c r="AH5" s="2">
        <f t="shared" ref="AH5:AJ5" si="7">(AH16-2*AH22)*(AH17-2*AH22)*(AH18-AH20-2*AH22)-AH21^2*AH16-(AH16-2*AH22)*(AH17-2*AH22)*AH22</f>
        <v>0.19938199999999998</v>
      </c>
      <c r="AI5" s="2">
        <f t="shared" si="7"/>
        <v>0.34418399999999993</v>
      </c>
      <c r="AJ5" s="2">
        <f t="shared" si="7"/>
        <v>0.66059049999999986</v>
      </c>
      <c r="AL5" s="48">
        <f>(AL16-2*AL22)*(AL17-2*AL22)*(AL18-AL20-2*AL22)-AL21^2*(AL16-2*AL22)-(AL16-2*AL22)*(AL17-2*AL22)*AL22</f>
        <v>0.17309600000000003</v>
      </c>
      <c r="AM5" s="48">
        <f t="shared" ref="AM5:AO5" si="8">(AM16-2*AM22)*(AM17-2*AM22)*(AM18-AM20-2*AM22)-AM21^2*(AM16-2*AM22)-(AM16-2*AM22)*(AM17-2*AM22)*AM22</f>
        <v>0.21762300000000007</v>
      </c>
      <c r="AN5" s="48">
        <f t="shared" si="8"/>
        <v>0.34978399999999993</v>
      </c>
      <c r="AO5" s="48">
        <f t="shared" si="8"/>
        <v>0.53894399999999987</v>
      </c>
      <c r="AZ5" s="48">
        <f>(AZ16-2*AZ22)*(AZ17-2*AZ22)*(AZ18-AZ20-2*AZ22)-AZ21^2*(AZ16-2*AZ22)-(AZ16-2*AZ22)*(AZ17-2*AZ22)*AZ22</f>
        <v>0.17309600000000003</v>
      </c>
      <c r="BA5" s="48">
        <f t="shared" ref="BA5:BC5" si="9">(BA16-2*BA22)*(BA17-2*BA22)*(BA18-BA20-2*BA22)-BA21^2*(BA16-2*BA22)-(BA16-2*BA22)*(BA17-2*BA22)*BA22</f>
        <v>0.21762300000000007</v>
      </c>
      <c r="BB5" s="48">
        <f t="shared" si="9"/>
        <v>0.34978399999999993</v>
      </c>
      <c r="BC5" s="48">
        <f t="shared" si="9"/>
        <v>0.53894399999999987</v>
      </c>
    </row>
    <row r="6" spans="1:56" x14ac:dyDescent="0.25">
      <c r="B6" t="s">
        <v>2</v>
      </c>
      <c r="C6" s="4">
        <f>C5*1000</f>
        <v>41.876711999999998</v>
      </c>
      <c r="D6" s="4">
        <f t="shared" ref="D6:F6" si="10">D5*1000</f>
        <v>107.35179199999997</v>
      </c>
      <c r="E6" s="4">
        <f t="shared" si="10"/>
        <v>183.80998400000004</v>
      </c>
      <c r="F6" s="4">
        <f t="shared" si="10"/>
        <v>331.48799999999994</v>
      </c>
      <c r="H6" s="24">
        <f>H5*1000</f>
        <v>44.756712</v>
      </c>
      <c r="I6" s="24">
        <f t="shared" ref="I6" si="11">I5*1000</f>
        <v>110.63179199999998</v>
      </c>
      <c r="J6" s="24">
        <f t="shared" ref="J6" si="12">J5*1000</f>
        <v>194.62500000000003</v>
      </c>
      <c r="K6" s="24">
        <f t="shared" ref="K6:M6" si="13">K5*1000</f>
        <v>354.52099999999996</v>
      </c>
      <c r="M6" s="39">
        <f t="shared" si="13"/>
        <v>337.08799999999997</v>
      </c>
      <c r="N6" s="28">
        <f>(M6-K6)/K6</f>
        <v>-4.917339170317131E-2</v>
      </c>
      <c r="O6" s="39">
        <f t="shared" ref="O6" si="14">O5*1000</f>
        <v>297.20672601866778</v>
      </c>
      <c r="P6" s="28">
        <f>(O6-K6)/K6</f>
        <v>-0.16166679542631376</v>
      </c>
      <c r="Q6" s="28"/>
      <c r="R6" s="4">
        <f>R5*1000</f>
        <v>82</v>
      </c>
      <c r="S6" s="4">
        <f t="shared" ref="S6" si="15">S5*1000</f>
        <v>110.79300000000005</v>
      </c>
      <c r="T6" s="4">
        <f t="shared" ref="T6" si="16">T5*1000</f>
        <v>225.81200000000001</v>
      </c>
      <c r="U6" s="4">
        <f t="shared" ref="U6" si="17">U5*1000</f>
        <v>354.99599999999998</v>
      </c>
      <c r="W6" s="49">
        <f>W5*1000</f>
        <v>88.000000000000014</v>
      </c>
      <c r="X6" s="49">
        <f t="shared" ref="X6:Z6" si="18">X5*1000</f>
        <v>117.99300000000004</v>
      </c>
      <c r="Y6" s="49">
        <f t="shared" si="18"/>
        <v>263.99999999999994</v>
      </c>
      <c r="Z6" s="49">
        <f t="shared" si="18"/>
        <v>442.49999999999994</v>
      </c>
      <c r="AB6" s="39">
        <f t="shared" ref="AB6" si="19">AB5*1000</f>
        <v>364.596</v>
      </c>
      <c r="AC6" s="28">
        <f>(AB6-Z6)/Z6</f>
        <v>-0.17605423728813549</v>
      </c>
      <c r="AD6" s="39">
        <f t="shared" ref="AD6" si="20">AD5*1000</f>
        <v>399.02111870728669</v>
      </c>
      <c r="AE6" s="28">
        <f>(AD6-Z6)/Z6</f>
        <v>-9.8257358853589286E-2</v>
      </c>
      <c r="AG6" s="4">
        <f>AG5*1000</f>
        <v>168.69600000000003</v>
      </c>
      <c r="AH6" s="4">
        <f t="shared" ref="AH6" si="21">AH5*1000</f>
        <v>199.38199999999998</v>
      </c>
      <c r="AI6" s="4">
        <f t="shared" ref="AI6" si="22">AI5*1000</f>
        <v>344.18399999999991</v>
      </c>
      <c r="AJ6" s="4">
        <f t="shared" ref="AJ6" si="23">AJ5*1000</f>
        <v>660.59049999999991</v>
      </c>
      <c r="AL6" s="49">
        <f>AL5*1000</f>
        <v>173.09600000000003</v>
      </c>
      <c r="AM6" s="49">
        <f t="shared" ref="AM6:AO6" si="24">AM5*1000</f>
        <v>217.62300000000008</v>
      </c>
      <c r="AN6" s="49">
        <f t="shared" si="24"/>
        <v>349.78399999999993</v>
      </c>
      <c r="AO6" s="49">
        <f t="shared" si="24"/>
        <v>538.94399999999985</v>
      </c>
      <c r="AZ6" s="49">
        <f>AZ5*1000</f>
        <v>173.09600000000003</v>
      </c>
      <c r="BA6" s="49">
        <f t="shared" ref="BA6:BC6" si="25">BA5*1000</f>
        <v>217.62300000000008</v>
      </c>
      <c r="BB6" s="49">
        <f t="shared" si="25"/>
        <v>349.78399999999993</v>
      </c>
      <c r="BC6" s="49">
        <f t="shared" si="25"/>
        <v>538.94399999999985</v>
      </c>
    </row>
    <row r="7" spans="1:56" x14ac:dyDescent="0.25">
      <c r="B7" t="s">
        <v>175</v>
      </c>
      <c r="C7" s="4"/>
      <c r="D7" s="4"/>
      <c r="E7" s="4"/>
      <c r="F7" s="4"/>
      <c r="M7" s="39"/>
      <c r="N7" s="28"/>
      <c r="O7" s="39"/>
      <c r="P7" s="28"/>
      <c r="Q7" s="28"/>
      <c r="R7" s="4"/>
      <c r="S7" s="4"/>
      <c r="T7" s="4"/>
      <c r="U7" s="4"/>
      <c r="V7" s="4"/>
      <c r="W7" s="4"/>
      <c r="X7" s="4"/>
      <c r="Y7" s="4"/>
      <c r="Z7" s="4"/>
      <c r="AA7" s="4"/>
      <c r="AB7" s="39"/>
      <c r="AC7" s="28"/>
      <c r="AD7" s="39"/>
      <c r="AE7" s="28"/>
      <c r="AG7" s="4"/>
      <c r="AH7" s="4"/>
      <c r="AI7" s="4"/>
      <c r="AJ7" s="4"/>
      <c r="AL7" s="48">
        <f>(AL16-2*AL22)*(AL17-2*AL22)*AL22</f>
        <v>1.0648000000000003E-2</v>
      </c>
      <c r="AM7" s="48">
        <f t="shared" ref="AM7:AO7" si="26">(AM16-2*AM22)*(AM17-2*AM22)*AM22</f>
        <v>1.1094000000000001E-2</v>
      </c>
      <c r="AN7" s="48">
        <f t="shared" si="26"/>
        <v>1.4811999999999999E-2</v>
      </c>
      <c r="AO7" s="48">
        <f t="shared" si="26"/>
        <v>2.1951999999999996E-2</v>
      </c>
      <c r="AZ7" s="48">
        <f>(AZ16-2*AZ22)*(AZ17-2*AZ22)*AZ22</f>
        <v>1.0648000000000003E-2</v>
      </c>
      <c r="BA7" s="48">
        <f t="shared" ref="BA7:BC7" si="27">(BA16-2*BA22)*(BA17-2*BA22)*BA22</f>
        <v>1.1094000000000001E-2</v>
      </c>
      <c r="BB7" s="48">
        <f t="shared" si="27"/>
        <v>1.4811999999999999E-2</v>
      </c>
      <c r="BC7" s="48">
        <f t="shared" si="27"/>
        <v>2.1951999999999996E-2</v>
      </c>
    </row>
    <row r="8" spans="1:56" x14ac:dyDescent="0.25">
      <c r="B8" t="s">
        <v>176</v>
      </c>
      <c r="C8" s="4"/>
      <c r="D8" s="4"/>
      <c r="E8" s="4"/>
      <c r="F8" s="4"/>
      <c r="M8" s="39"/>
      <c r="N8" s="28"/>
      <c r="O8" s="39"/>
      <c r="P8" s="28"/>
      <c r="Q8" s="28"/>
      <c r="R8" s="4"/>
      <c r="S8" s="4"/>
      <c r="T8" s="4"/>
      <c r="U8" s="4"/>
      <c r="V8" s="4"/>
      <c r="W8" s="4"/>
      <c r="X8" s="4"/>
      <c r="Y8" s="4"/>
      <c r="Z8" s="4"/>
      <c r="AA8" s="4"/>
      <c r="AB8" s="39"/>
      <c r="AC8" s="28"/>
      <c r="AD8" s="39"/>
      <c r="AE8" s="28"/>
      <c r="AG8" s="4"/>
      <c r="AH8" s="4"/>
      <c r="AI8" s="4"/>
      <c r="AJ8" s="4"/>
      <c r="AL8" s="48">
        <f>(AL16-2*AL22)*(AL17-2*AL22)*(AL18-AL22-AL19)-0.5*AL7</f>
        <v>8.6548101180100659E-2</v>
      </c>
      <c r="AM8" s="48">
        <f t="shared" ref="AM8:AO8" si="28">(AM16-2*AM22)*(AM17-2*AM22)*(AM18-AM22-AM19)-0.5*AM7</f>
        <v>0.10881161584225479</v>
      </c>
      <c r="AN8" s="48">
        <f t="shared" si="28"/>
        <v>0.17489216668400948</v>
      </c>
      <c r="AO8" s="48">
        <f t="shared" si="28"/>
        <v>0.26947224761073296</v>
      </c>
      <c r="AZ8" s="48">
        <f>(AZ16-2*AZ22)*(AZ17-2*AZ22)*(AZ18-AZ22-AZ19)-0.5*AZ7</f>
        <v>0.12636014121315509</v>
      </c>
      <c r="BA8" s="48">
        <f t="shared" ref="BA8:BC8" si="29">(BA16-2*BA22)*(BA17-2*BA22)*(BA18-BA22-BA19)-0.5*BA7</f>
        <v>0.15886485978741927</v>
      </c>
      <c r="BB8" s="48">
        <f t="shared" si="29"/>
        <v>0.25534242078958158</v>
      </c>
      <c r="BC8" s="48">
        <f t="shared" si="29"/>
        <v>0.39342926998744437</v>
      </c>
    </row>
    <row r="9" spans="1:56" x14ac:dyDescent="0.25">
      <c r="B9" t="s">
        <v>177</v>
      </c>
      <c r="C9" s="4"/>
      <c r="D9" s="4"/>
      <c r="E9" s="4"/>
      <c r="F9" s="4"/>
      <c r="M9" s="39"/>
      <c r="N9" s="28"/>
      <c r="O9" s="39"/>
      <c r="P9" s="28"/>
      <c r="Q9" s="28"/>
      <c r="R9" s="4"/>
      <c r="S9" s="4"/>
      <c r="T9" s="4"/>
      <c r="U9" s="4"/>
      <c r="V9" s="4"/>
      <c r="W9" s="4"/>
      <c r="X9" s="4"/>
      <c r="Y9" s="4"/>
      <c r="Z9" s="4"/>
      <c r="AA9" s="4"/>
      <c r="AB9" s="39"/>
      <c r="AC9" s="28"/>
      <c r="AD9" s="39"/>
      <c r="AE9" s="28"/>
      <c r="AG9" s="4"/>
      <c r="AH9" s="4"/>
      <c r="AI9" s="4"/>
      <c r="AJ9" s="4"/>
      <c r="AL9" s="48">
        <f>(AL16-2*AL22)*(AL17-2*AL22)*(AL19-AL20-AL22)-AL21^2*(AL16-2*AL22)-AL7*0.5</f>
        <v>8.6547898819899383E-2</v>
      </c>
      <c r="AM9" s="48">
        <f t="shared" ref="AM9:AO9" si="30">(AM16-2*AM22)*(AM17-2*AM22)*(AM19-AM20-AM22)-AM21^2*(AM16-2*AM22)-AM7*0.5</f>
        <v>0.10881138415774526</v>
      </c>
      <c r="AN9" s="48">
        <f t="shared" si="30"/>
        <v>0.1748918333159904</v>
      </c>
      <c r="AO9" s="48">
        <f t="shared" si="30"/>
        <v>0.26947175238926691</v>
      </c>
      <c r="AZ9" s="48">
        <f>(AZ16-2*AZ22)*(AZ17-2*AZ22)*(AZ19-AZ20-AZ22)-AZ21^2*(AZ16-2*AZ22)-AZ7*0.5</f>
        <v>4.6735858786844976E-2</v>
      </c>
      <c r="BA9" s="48">
        <f t="shared" ref="BA9:BC9" si="31">(BA16-2*BA22)*(BA17-2*BA22)*(BA19-BA20-BA22)-BA21^2*(BA16-2*BA22)-BA7*0.5</f>
        <v>5.8758140212580752E-2</v>
      </c>
      <c r="BB9" s="48">
        <f t="shared" si="31"/>
        <v>9.4441579210418333E-2</v>
      </c>
      <c r="BC9" s="48">
        <f t="shared" si="31"/>
        <v>0.14551473001255541</v>
      </c>
    </row>
    <row r="10" spans="1:56" x14ac:dyDescent="0.25">
      <c r="B10" t="s">
        <v>180</v>
      </c>
      <c r="C10" s="4"/>
      <c r="D10" s="4"/>
      <c r="E10" s="4"/>
      <c r="F10" s="4"/>
      <c r="M10" s="39"/>
      <c r="N10" s="28"/>
      <c r="O10" s="39"/>
      <c r="P10" s="28"/>
      <c r="Q10" s="28"/>
      <c r="R10" s="4"/>
      <c r="S10" s="4"/>
      <c r="T10" s="4"/>
      <c r="U10" s="4"/>
      <c r="V10" s="4"/>
      <c r="W10" s="4"/>
      <c r="X10" s="4"/>
      <c r="Y10" s="4"/>
      <c r="Z10" s="4"/>
      <c r="AA10" s="4"/>
      <c r="AB10" s="39"/>
      <c r="AC10" s="28"/>
      <c r="AD10" s="39"/>
      <c r="AE10" s="28"/>
      <c r="AG10" s="4"/>
      <c r="AH10" s="4"/>
      <c r="AI10" s="4"/>
      <c r="AJ10" s="4"/>
      <c r="AL10" s="48">
        <f>AL8/AL5</f>
        <v>0.5000005845317087</v>
      </c>
      <c r="AM10" s="48">
        <f t="shared" ref="AM10:AO10" si="32">AM8/AM5</f>
        <v>0.500000532307039</v>
      </c>
      <c r="AN10" s="48">
        <f t="shared" si="32"/>
        <v>0.50000047653411683</v>
      </c>
      <c r="AO10" s="48">
        <f t="shared" si="32"/>
        <v>0.50000045943684879</v>
      </c>
      <c r="AQ10" s="63">
        <f>(AL10-rVFresh)^2+(AM10-rVFresh)^2+(AN10-rVFresh)^2+(AO10-rVFresh)^2</f>
        <v>1.0631950847809676E-12</v>
      </c>
      <c r="AR10" t="s">
        <v>184</v>
      </c>
      <c r="AZ10" s="48">
        <f>AZ8/AZ5</f>
        <v>0.73000035363702842</v>
      </c>
      <c r="BA10" s="48">
        <f t="shared" ref="BA10:BC10" si="33">BA8/BA5</f>
        <v>0.73000032068034726</v>
      </c>
      <c r="BB10" s="48">
        <f t="shared" si="33"/>
        <v>0.73000028814806173</v>
      </c>
      <c r="BC10" s="48">
        <f t="shared" si="33"/>
        <v>0.73000027829875547</v>
      </c>
    </row>
    <row r="11" spans="1:56" x14ac:dyDescent="0.25">
      <c r="A11" t="s">
        <v>3</v>
      </c>
      <c r="B11" t="s">
        <v>4</v>
      </c>
      <c r="C11" s="3">
        <f>2*((C16-C22)*(C17-C22)+(C18-C22-C20)*(C17-C22)-(C21+0.5*C22)^2+(C16-C22)*(C18-C22-C20))</f>
        <v>1.0003680000000001</v>
      </c>
      <c r="D11" s="3">
        <f t="shared" ref="D11:F11" si="34">2*((D16-D22)*(D17-D22)+(D18-D22-D20)*(D17-D22)-(D21+0.5*D22)^2+(D16-D22)*(D18-D22-D20))</f>
        <v>1.7200854999999999</v>
      </c>
      <c r="E11" s="3">
        <f t="shared" si="34"/>
        <v>2.5722495000000003</v>
      </c>
      <c r="F11" s="3">
        <f t="shared" si="34"/>
        <v>4.1613500000000005</v>
      </c>
      <c r="H11" s="25">
        <f>2*((H16-H22)*(H17-H22)+(H18-H22-H20)*(H17-H22)-(H21)^2+(H16-H22)*(H18-H22-H20))</f>
        <v>1.0154160000000001</v>
      </c>
      <c r="I11" s="25">
        <f t="shared" ref="I11:K11" si="35">2*((I16-I22)*(I17-I22)+(I18-I22-I20)*(I17-I22)-(I21)^2+(I16-I22)*(I18-I22-I20))</f>
        <v>1.7373259999999999</v>
      </c>
      <c r="J11" s="25">
        <f t="shared" si="35"/>
        <v>2.6199999999999997</v>
      </c>
      <c r="K11" s="25">
        <f t="shared" si="35"/>
        <v>4.248149999999999</v>
      </c>
      <c r="M11" s="40">
        <f t="shared" ref="M11:O11" si="36">2*((M16-M22)*(M17-M22)+(M18-M22-M20)*(M17-M22)-(M21)^2+(M16-M22)*(M18-M22-M20))</f>
        <v>4.1918000000000006</v>
      </c>
      <c r="N11" s="18"/>
      <c r="O11" s="40">
        <f t="shared" si="36"/>
        <v>4.057254061974243</v>
      </c>
      <c r="R11" s="3">
        <f>2*((R16-R22)*(R17-R22)+(R18-R22-R20)*(R17-R22)-(R21+0.5*R22)^2+(R16-R22)*(R18-R22-R20))</f>
        <v>1.7159375000000001</v>
      </c>
      <c r="S11" s="3">
        <f t="shared" ref="S11:U11" si="37">2*((S16-S22)*(S17-S22)+(S18-S22-S20)*(S17-S22)-(S21+0.5*S22)^2+(S16-S22)*(S18-S22-S20))</f>
        <v>2.2535500000000002</v>
      </c>
      <c r="T11" s="3">
        <f t="shared" si="37"/>
        <v>3.9565499999999996</v>
      </c>
      <c r="U11" s="3">
        <f t="shared" si="37"/>
        <v>5.0152000000000001</v>
      </c>
      <c r="W11" s="50">
        <f>2*((W16-W22)*(W17-W22)+(W18-W22-W20)*(W17-W22)-(W21)^2+(W16-W22)*(W18-W22-W20))</f>
        <v>1.74875</v>
      </c>
      <c r="X11" s="50">
        <f t="shared" ref="X11:Z11" si="38">2*((X16-X22)*(X17-X22)+(X18-X22-X20)*(X17-X22)-(X21)^2+(X16-X22)*(X18-X22-X20))</f>
        <v>2.2936000000000001</v>
      </c>
      <c r="Y11" s="50">
        <f t="shared" si="38"/>
        <v>4.1199999999999992</v>
      </c>
      <c r="Z11" s="50">
        <f t="shared" si="38"/>
        <v>5.3199999999999994</v>
      </c>
      <c r="AB11" s="40">
        <f t="shared" ref="AB11" si="39">2*((AB16-AB22)*(AB17-AB22)+(AB18-AB22-AB20)*(AB17-AB22)-(AB21)^2+(AB16-AB22)*(AB18-AB22-AB20))</f>
        <v>5.0703999999999994</v>
      </c>
      <c r="AC11" s="18"/>
      <c r="AD11" s="40">
        <f t="shared" ref="AD11" si="40">2*((AD16-AD22)*(AD17-AD22)+(AD18-AD22-AD20)*(AD17-AD22)-(AD21)^2+(AD16-AD22)*(AD18-AD22-AD20))</f>
        <v>5.1836465553868933</v>
      </c>
      <c r="AG11" s="3">
        <v>3.0449999999999999</v>
      </c>
      <c r="AH11" s="3">
        <v>3.52</v>
      </c>
      <c r="AI11" s="3">
        <v>4.9989999999999997</v>
      </c>
      <c r="AJ11" s="3">
        <v>7.4039999999999999</v>
      </c>
      <c r="AL11" s="50">
        <f>2*((AL16-AL22)*(AL17-AL22)+(AL18-AL22-AL20)*(AL17-AL22)-(AL21)^2+(AL16-AL22)*(AL18-AL22-AL20))</f>
        <v>2.5781500000000004</v>
      </c>
      <c r="AM11" s="50">
        <f>(2*(AM16-AM22)*(AM17-AM22)+2*((AM18-AM22-AM20)*(AM17-AM22)-(AM21)^2)+2*(AM16-AM22)*(AM18-AM22-AM20))</f>
        <v>3.1246</v>
      </c>
      <c r="AN11" s="50">
        <f t="shared" ref="AN11:AO11" si="41">2*((AN16-AN22)*(AN17-AN22)+(AN18-AN22-AN20)*(AN17-AN22)-(AN21)^2+(AN16-AN22)*(AN18-AN22-AN20))</f>
        <v>4.4673999999999996</v>
      </c>
      <c r="AO11" s="50">
        <f t="shared" si="41"/>
        <v>5.5773999999999972</v>
      </c>
      <c r="AZ11" s="50">
        <f>2*((AZ16-AZ22)*(AZ17-AZ22)+(AZ18-AZ22-AZ20)*(AZ17-AZ22)-(AZ21)^2+(AZ16-AZ22)*(AZ18-AZ22-AZ20))</f>
        <v>2.5781500000000004</v>
      </c>
      <c r="BA11" s="50">
        <f>(2*(BA16-BA22)*(BA17-BA22)+2*((BA18-BA22-BA20)*(BA17-BA22)-(BA21)^2)+2*(BA16-BA22)*(BA18-BA22-BA20))</f>
        <v>3.1246</v>
      </c>
      <c r="BB11" s="50">
        <f t="shared" ref="BB11:BC11" si="42">2*((BB16-BB22)*(BB17-BB22)+(BB18-BB22-BB20)*(BB17-BB22)-(BB21)^2+(BB16-BB22)*(BB18-BB22-BB20))</f>
        <v>4.4673999999999996</v>
      </c>
      <c r="BC11" s="50">
        <f t="shared" si="42"/>
        <v>5.5773999999999972</v>
      </c>
    </row>
    <row r="12" spans="1:56" x14ac:dyDescent="0.25">
      <c r="B12" t="s">
        <v>178</v>
      </c>
      <c r="C12" s="3"/>
      <c r="D12" s="3"/>
      <c r="E12" s="3"/>
      <c r="F12" s="3"/>
      <c r="AB12" s="40"/>
      <c r="AC12" s="18"/>
      <c r="AD12" s="40"/>
      <c r="AG12" s="3"/>
      <c r="AH12" s="3"/>
      <c r="AI12" s="3"/>
      <c r="AJ12" s="3"/>
      <c r="AL12" s="50">
        <f>((AL16-AL22)*(AL17-AL22)+2*((AL18-0.5*AL22-AL19)*(AL17-AL22))+2*(AL16-AL22)*(AL18-0.5*AL22-AL19))</f>
        <v>1.2390760347964838</v>
      </c>
      <c r="AM12" s="50">
        <f t="shared" ref="AM12:AO12" si="43">((AM16-AM22)*(AM17-AM22)+2*((AM18-0.5*AM22-AM19)*(AM17-AM22))+2*(AM16-AM22)*(AM18-0.5*AM22-AM19))</f>
        <v>1.5111384372678169</v>
      </c>
      <c r="AN12" s="50">
        <f t="shared" si="43"/>
        <v>2.1815277569475438</v>
      </c>
      <c r="AO12" s="50">
        <f t="shared" si="43"/>
        <v>2.7387019897291038</v>
      </c>
      <c r="AZ12" s="50">
        <f>((AZ16-AZ22)*(AZ17-AZ22)+2*((AZ18-0.5*AZ22-AZ19)*(AZ17-AZ22))+2*(AZ16-AZ22)*(AZ18-0.5*AZ22-AZ19))</f>
        <v>1.6462446260436312</v>
      </c>
      <c r="BA12" s="50">
        <f t="shared" ref="BA12:BC12" si="44">((BA16-BA22)*(BA17-BA22)+2*((BA18-0.5*BA22-BA19)*(BA17-BA22))+2*(BA16-BA22)*(BA18-0.5*BA22-BA19))</f>
        <v>2.0417190653506854</v>
      </c>
      <c r="BB12" s="50">
        <f t="shared" si="44"/>
        <v>2.987551096757624</v>
      </c>
      <c r="BC12" s="50">
        <f t="shared" si="44"/>
        <v>3.7347852052562494</v>
      </c>
    </row>
    <row r="13" spans="1:56" x14ac:dyDescent="0.25">
      <c r="B13" t="s">
        <v>179</v>
      </c>
      <c r="C13" s="3"/>
      <c r="D13" s="3"/>
      <c r="E13" s="3"/>
      <c r="F13" s="3"/>
      <c r="AB13" s="40"/>
      <c r="AC13" s="18"/>
      <c r="AD13" s="40"/>
      <c r="AG13" s="3"/>
      <c r="AH13" s="3"/>
      <c r="AI13" s="3"/>
      <c r="AJ13" s="3"/>
      <c r="AL13" s="50">
        <f>(AL16-AL22)*(AL17-AL22)+2*((AL19-0.5*AL22-AL20)*(AL17-AL22)-(AL21)^2)+2*(AL16-AL22)*(AL19-0.5*AL22-AL20)</f>
        <v>1.3390739652035166</v>
      </c>
      <c r="AM13" s="50">
        <f t="shared" ref="AM13:AO13" si="45">(AM16-AM22)*(AM17-AM22)+2*((AM19-0.5*AM22-AM20)*(AM17-AM22)-(AM21)^2)+2*(AM16-AM22)*(AM19-0.5*AM22-AM20)</f>
        <v>1.6134615627321831</v>
      </c>
      <c r="AN13" s="50">
        <f t="shared" si="45"/>
        <v>2.2858722430524567</v>
      </c>
      <c r="AO13" s="50">
        <f t="shared" si="45"/>
        <v>2.8386980102708943</v>
      </c>
      <c r="AQ13" s="4"/>
      <c r="AZ13" s="50">
        <f>(AZ16-AZ22)*(AZ17-AZ22)+2*((AZ19-0.5*AZ22-AZ20)*(AZ17-AZ22)-(AZ21)^2)+2*(AZ16-AZ22)*(AZ19-0.5*AZ22-AZ20)</f>
        <v>0.93190537395636897</v>
      </c>
      <c r="BA13" s="50">
        <f t="shared" ref="BA13:BC13" si="46">(BA16-BA22)*(BA17-BA22)+2*((BA19-0.5*BA22-BA20)*(BA17-BA22)-(BA21)^2)+2*(BA16-BA22)*(BA19-0.5*BA22-BA20)</f>
        <v>1.0828809346493147</v>
      </c>
      <c r="BB13" s="50">
        <f t="shared" si="46"/>
        <v>1.4798489032423765</v>
      </c>
      <c r="BC13" s="50">
        <f t="shared" si="46"/>
        <v>1.8426147947437488</v>
      </c>
    </row>
    <row r="14" spans="1:56" x14ac:dyDescent="0.25">
      <c r="A14" t="s">
        <v>8</v>
      </c>
      <c r="B14" t="s">
        <v>5</v>
      </c>
      <c r="C14" s="3">
        <f>C16*(C18-C20-C21)</f>
        <v>0.12150000000000001</v>
      </c>
      <c r="D14" s="3">
        <f t="shared" ref="D14:F14" si="47">D16*(D18-D20-D21)</f>
        <v>0.28600000000000003</v>
      </c>
      <c r="E14" s="3">
        <f t="shared" si="47"/>
        <v>0.52249999999999996</v>
      </c>
      <c r="F14" s="3">
        <f t="shared" si="47"/>
        <v>0.97199999999999998</v>
      </c>
      <c r="H14" s="3">
        <f>H16*(H18-H20-H21)</f>
        <v>0.12150000000000001</v>
      </c>
      <c r="I14" s="3">
        <f t="shared" ref="I14:K14" si="48">I16*(I18-I20-I21)</f>
        <v>0.28600000000000003</v>
      </c>
      <c r="J14" s="3">
        <f t="shared" si="48"/>
        <v>0.52249999999999996</v>
      </c>
      <c r="K14" s="3">
        <f t="shared" si="48"/>
        <v>0.97199999999999998</v>
      </c>
      <c r="M14" s="40">
        <f t="shared" ref="M14:O14" si="49">M16*(M18-M20-M21)</f>
        <v>0.97199999999999998</v>
      </c>
      <c r="N14" s="18"/>
      <c r="O14" s="40">
        <f t="shared" si="49"/>
        <v>0.97199999999999998</v>
      </c>
      <c r="R14" s="3">
        <f>R16*(R18-R20-R21)</f>
        <v>0.32999999999999996</v>
      </c>
      <c r="S14" s="3">
        <f t="shared" ref="S14:U14" si="50">S16*(S18-S20-S21)</f>
        <v>0.52249999999999996</v>
      </c>
      <c r="T14" s="3">
        <f t="shared" si="50"/>
        <v>1.05</v>
      </c>
      <c r="U14" s="3">
        <f t="shared" si="50"/>
        <v>1.2950000000000002</v>
      </c>
      <c r="W14" s="3">
        <f>W16*(W18-W20-W21)</f>
        <v>0.32999999999999996</v>
      </c>
      <c r="X14" s="3">
        <f t="shared" ref="X14:Z14" si="51">X16*(X18-X20-X21)</f>
        <v>0.52249999999999996</v>
      </c>
      <c r="Y14" s="3">
        <f t="shared" si="51"/>
        <v>1.05</v>
      </c>
      <c r="Z14" s="3">
        <f t="shared" si="51"/>
        <v>1.2950000000000002</v>
      </c>
      <c r="AB14" s="40">
        <f t="shared" ref="AB14" si="52">AB16*(AB18-AB20-AB21)</f>
        <v>1.2950000000000002</v>
      </c>
      <c r="AC14" s="18"/>
      <c r="AD14" s="40">
        <f t="shared" ref="AD14" si="53">AD16*(AD18-AD20-AD21)</f>
        <v>1.2950000000000002</v>
      </c>
      <c r="AG14" s="3">
        <f>AG16*(AG18-AG20-AG21)</f>
        <v>0.52249999999999996</v>
      </c>
      <c r="AH14" s="3">
        <f t="shared" ref="AH14:AJ14" si="54">AH16*(AH18-AH20-AH21)</f>
        <v>0.6875</v>
      </c>
      <c r="AI14" s="3">
        <f t="shared" si="54"/>
        <v>1.05</v>
      </c>
      <c r="AJ14" s="3">
        <f t="shared" si="54"/>
        <v>1.44</v>
      </c>
      <c r="AL14" s="3">
        <f>AL16*(AL18-AL20-AL21)</f>
        <v>0.52249999999999996</v>
      </c>
      <c r="AM14" s="3">
        <f t="shared" ref="AM14:AO14" si="55">AM16*(AM18-AM20-AM21)</f>
        <v>0.6875</v>
      </c>
      <c r="AN14" s="3">
        <f t="shared" si="55"/>
        <v>1.05</v>
      </c>
      <c r="AO14" s="50">
        <f t="shared" si="55"/>
        <v>1.2599999999999998</v>
      </c>
      <c r="AZ14" s="3">
        <f>AZ16*(AZ18-AZ20-AZ21)</f>
        <v>0.52249999999999996</v>
      </c>
      <c r="BA14" s="3">
        <f t="shared" ref="BA14:BC14" si="56">BA16*(BA18-BA20-BA21)</f>
        <v>0.6875</v>
      </c>
      <c r="BB14" s="3">
        <f t="shared" si="56"/>
        <v>1.05</v>
      </c>
      <c r="BC14" s="50">
        <f t="shared" si="56"/>
        <v>1.2599999999999998</v>
      </c>
    </row>
    <row r="15" spans="1:56" x14ac:dyDescent="0.25">
      <c r="A15" t="s">
        <v>7</v>
      </c>
      <c r="B15" t="s">
        <v>6</v>
      </c>
      <c r="C15">
        <f>2*(C16+(C18-C20))</f>
        <v>1.84</v>
      </c>
      <c r="D15">
        <f t="shared" ref="D15:F15" si="57">2*(D16+(D18-D20))</f>
        <v>2.54</v>
      </c>
      <c r="E15">
        <f t="shared" si="57"/>
        <v>3.4</v>
      </c>
      <c r="F15">
        <f t="shared" si="57"/>
        <v>4.84</v>
      </c>
      <c r="H15">
        <f>2*(H16+(H18-H20))</f>
        <v>1.84</v>
      </c>
      <c r="I15">
        <f t="shared" ref="I15" si="58">2*(I16+(I18-I20))</f>
        <v>2.54</v>
      </c>
      <c r="J15">
        <f t="shared" ref="J15" si="59">2*(J16+(J18-J20))</f>
        <v>3.4</v>
      </c>
      <c r="K15">
        <f t="shared" ref="K15:M15" si="60">2*(K16+(K18-K20))</f>
        <v>4.84</v>
      </c>
      <c r="M15" s="18">
        <f t="shared" si="60"/>
        <v>4.84</v>
      </c>
      <c r="N15" s="18"/>
      <c r="O15" s="18">
        <f t="shared" ref="O15" si="61">2*(O16+(O18-O20))</f>
        <v>4.84</v>
      </c>
      <c r="R15">
        <f>2*(R16+(R18-R20))</f>
        <v>2.7</v>
      </c>
      <c r="S15">
        <f t="shared" ref="S15" si="62">2*(S16+(S18-S20))</f>
        <v>3.4</v>
      </c>
      <c r="T15">
        <f t="shared" ref="T15" si="63">2*(T16+(T18-T20))</f>
        <v>5.0999999999999996</v>
      </c>
      <c r="U15">
        <f t="shared" ref="U15" si="64">2*(U16+(U18-U20))</f>
        <v>5.5</v>
      </c>
      <c r="W15">
        <f>2*(W16+(W18-W20))</f>
        <v>2.7</v>
      </c>
      <c r="X15">
        <f t="shared" ref="X15" si="65">2*(X16+(X18-X20))</f>
        <v>3.4</v>
      </c>
      <c r="Y15">
        <f t="shared" ref="Y15" si="66">2*(Y16+(Y18-Y20))</f>
        <v>5.0999999999999996</v>
      </c>
      <c r="Z15">
        <f t="shared" ref="Z15:AB15" si="67">2*(Z16+(Z18-Z20))</f>
        <v>5.5</v>
      </c>
      <c r="AB15" s="18">
        <f t="shared" si="67"/>
        <v>5.5</v>
      </c>
      <c r="AC15" s="18"/>
      <c r="AD15" s="18">
        <f t="shared" ref="AD15" si="68">2*(AD16+(AD18-AD20))</f>
        <v>5.5</v>
      </c>
      <c r="AG15">
        <f>2*(AG16+(AG18-AG20))+2*AG16</f>
        <v>4.5</v>
      </c>
      <c r="AH15">
        <f t="shared" ref="AH15:AJ15" si="69">2*(AH16+(AH18-AH20))+2*AH16</f>
        <v>5.0999999999999996</v>
      </c>
      <c r="AI15">
        <f t="shared" si="69"/>
        <v>6.3</v>
      </c>
      <c r="AJ15">
        <f t="shared" si="69"/>
        <v>7.1999999999999993</v>
      </c>
      <c r="AL15">
        <f>2*(AL16+(AL18-AL20))+2*AL16</f>
        <v>4.5</v>
      </c>
      <c r="AM15">
        <f t="shared" ref="AM15" si="70">2*(AM16+(AM18-AM20))+2*AM16</f>
        <v>5.0999999999999996</v>
      </c>
      <c r="AN15">
        <f t="shared" ref="AN15" si="71">2*(AN16+(AN18-AN20))+2*AN16</f>
        <v>6.3</v>
      </c>
      <c r="AO15">
        <f t="shared" ref="AO15" si="72">2*(AO16+(AO18-AO20))+2*AO16</f>
        <v>6.7999999999999989</v>
      </c>
      <c r="AZ15">
        <f>2*(AZ16+(AZ18-AZ20))+2*AZ16</f>
        <v>4.5</v>
      </c>
      <c r="BA15">
        <f t="shared" ref="BA15:BC15" si="73">2*(BA16+(BA18-BA20))+2*BA16</f>
        <v>5.0999999999999996</v>
      </c>
      <c r="BB15">
        <f t="shared" si="73"/>
        <v>6.3</v>
      </c>
      <c r="BC15">
        <f t="shared" si="73"/>
        <v>6.7999999999999989</v>
      </c>
    </row>
    <row r="16" spans="1:56" x14ac:dyDescent="0.25">
      <c r="A16" t="s">
        <v>9</v>
      </c>
      <c r="B16" t="s">
        <v>12</v>
      </c>
      <c r="C16" s="1">
        <v>0.45</v>
      </c>
      <c r="D16" s="1">
        <v>0.52</v>
      </c>
      <c r="E16" s="1">
        <v>0.55000000000000004</v>
      </c>
      <c r="F16" s="1">
        <v>0.6</v>
      </c>
      <c r="H16" s="1">
        <v>0.45</v>
      </c>
      <c r="I16" s="1">
        <v>0.52</v>
      </c>
      <c r="J16" s="1">
        <v>0.55000000000000004</v>
      </c>
      <c r="K16" s="1">
        <v>0.6</v>
      </c>
      <c r="M16" s="41">
        <v>0.6</v>
      </c>
      <c r="N16" s="18"/>
      <c r="O16" s="41">
        <v>0.6</v>
      </c>
      <c r="R16" s="1">
        <v>0.55000000000000004</v>
      </c>
      <c r="S16" s="1">
        <v>0.55000000000000004</v>
      </c>
      <c r="T16" s="1">
        <v>0.6</v>
      </c>
      <c r="U16" s="1">
        <v>0.7</v>
      </c>
      <c r="W16" s="1">
        <v>0.55000000000000004</v>
      </c>
      <c r="X16" s="1">
        <v>0.55000000000000004</v>
      </c>
      <c r="Y16" s="1">
        <v>0.6</v>
      </c>
      <c r="Z16" s="1">
        <v>0.7</v>
      </c>
      <c r="AB16" s="41">
        <v>0.7</v>
      </c>
      <c r="AC16" s="18"/>
      <c r="AD16" s="41">
        <v>0.7</v>
      </c>
      <c r="AG16" s="1">
        <v>0.55000000000000004</v>
      </c>
      <c r="AH16" s="1">
        <v>0.55000000000000004</v>
      </c>
      <c r="AI16" s="1">
        <v>0.6</v>
      </c>
      <c r="AJ16" s="1">
        <v>0.8</v>
      </c>
      <c r="AL16" s="1">
        <v>0.55000000000000004</v>
      </c>
      <c r="AM16" s="1">
        <v>0.55000000000000004</v>
      </c>
      <c r="AN16" s="1">
        <v>0.6</v>
      </c>
      <c r="AO16" s="51">
        <v>0.7</v>
      </c>
      <c r="AZ16" s="1">
        <v>0.55000000000000004</v>
      </c>
      <c r="BA16" s="1">
        <v>0.55000000000000004</v>
      </c>
      <c r="BB16" s="1">
        <v>0.6</v>
      </c>
      <c r="BC16" s="51">
        <v>0.7</v>
      </c>
    </row>
    <row r="17" spans="1:56" x14ac:dyDescent="0.25">
      <c r="A17" t="s">
        <v>10</v>
      </c>
      <c r="B17" t="s">
        <v>13</v>
      </c>
      <c r="C17" s="1">
        <v>0.47</v>
      </c>
      <c r="D17" s="1">
        <v>0.52</v>
      </c>
      <c r="E17" s="1">
        <v>0.55000000000000004</v>
      </c>
      <c r="F17" s="1">
        <v>0.6</v>
      </c>
      <c r="H17" s="1">
        <v>0.47</v>
      </c>
      <c r="I17" s="1">
        <v>0.52</v>
      </c>
      <c r="J17" s="1">
        <v>0.55000000000000004</v>
      </c>
      <c r="K17" s="1">
        <v>0.6</v>
      </c>
      <c r="M17" s="41">
        <v>0.6</v>
      </c>
      <c r="N17" s="18"/>
      <c r="O17" s="41">
        <v>0.6</v>
      </c>
      <c r="R17" s="1">
        <v>0.55000000000000004</v>
      </c>
      <c r="S17" s="1">
        <v>0.55000000000000004</v>
      </c>
      <c r="T17" s="1">
        <v>0.6</v>
      </c>
      <c r="U17" s="1">
        <v>0.7</v>
      </c>
      <c r="W17" s="1">
        <v>0.55000000000000004</v>
      </c>
      <c r="X17" s="1">
        <v>0.55000000000000004</v>
      </c>
      <c r="Y17" s="1">
        <v>0.6</v>
      </c>
      <c r="Z17" s="1">
        <v>0.7</v>
      </c>
      <c r="AB17" s="41">
        <v>0.7</v>
      </c>
      <c r="AC17" s="18"/>
      <c r="AD17" s="41">
        <v>0.7</v>
      </c>
      <c r="AG17" s="1">
        <v>0.55000000000000004</v>
      </c>
      <c r="AH17" s="1">
        <v>0.55000000000000004</v>
      </c>
      <c r="AI17" s="1">
        <v>0.6</v>
      </c>
      <c r="AJ17" s="1">
        <v>0.8</v>
      </c>
      <c r="AL17" s="1">
        <v>0.55000000000000004</v>
      </c>
      <c r="AM17" s="1">
        <v>0.55000000000000004</v>
      </c>
      <c r="AN17" s="1">
        <v>0.6</v>
      </c>
      <c r="AO17" s="51">
        <v>0.7</v>
      </c>
      <c r="AZ17" s="1">
        <v>0.55000000000000004</v>
      </c>
      <c r="BA17" s="1">
        <v>0.55000000000000004</v>
      </c>
      <c r="BB17" s="1">
        <v>0.6</v>
      </c>
      <c r="BC17" s="51">
        <v>0.7</v>
      </c>
    </row>
    <row r="18" spans="1:56" x14ac:dyDescent="0.25">
      <c r="A18" t="s">
        <v>11</v>
      </c>
      <c r="B18" t="s">
        <v>14</v>
      </c>
      <c r="C18" s="1">
        <v>0.52</v>
      </c>
      <c r="D18" s="1">
        <v>0.8</v>
      </c>
      <c r="E18" s="1">
        <v>1.2</v>
      </c>
      <c r="F18" s="1">
        <v>1.87</v>
      </c>
      <c r="H18" s="1">
        <v>0.52</v>
      </c>
      <c r="I18" s="1">
        <v>0.8</v>
      </c>
      <c r="J18" s="1">
        <v>1.2</v>
      </c>
      <c r="K18" s="1">
        <v>1.87</v>
      </c>
      <c r="M18" s="41">
        <v>1.87</v>
      </c>
      <c r="N18" s="18"/>
      <c r="O18" s="41">
        <v>1.87</v>
      </c>
      <c r="R18" s="1">
        <v>0.85</v>
      </c>
      <c r="S18" s="1">
        <v>1.2</v>
      </c>
      <c r="T18" s="1">
        <v>2</v>
      </c>
      <c r="U18" s="1">
        <v>2.1</v>
      </c>
      <c r="W18" s="1">
        <v>0.85</v>
      </c>
      <c r="X18" s="1">
        <v>1.2</v>
      </c>
      <c r="Y18" s="1">
        <v>2</v>
      </c>
      <c r="Z18" s="1">
        <v>2.1</v>
      </c>
      <c r="AB18" s="41">
        <v>2.1</v>
      </c>
      <c r="AC18" s="18"/>
      <c r="AD18" s="41">
        <v>2.1</v>
      </c>
      <c r="AG18" s="1">
        <v>1.2</v>
      </c>
      <c r="AH18" s="1">
        <v>1.5</v>
      </c>
      <c r="AI18" s="1">
        <v>2</v>
      </c>
      <c r="AJ18" s="1">
        <v>2.0499999999999998</v>
      </c>
      <c r="AL18" s="1">
        <v>1.2</v>
      </c>
      <c r="AM18" s="1">
        <v>1.5</v>
      </c>
      <c r="AN18" s="1">
        <v>2</v>
      </c>
      <c r="AO18" s="1">
        <v>2.0499999999999998</v>
      </c>
      <c r="AZ18" s="1">
        <v>1.2</v>
      </c>
      <c r="BA18" s="1">
        <v>1.5</v>
      </c>
      <c r="BB18" s="1">
        <v>2</v>
      </c>
      <c r="BC18" s="1">
        <v>2.0499999999999998</v>
      </c>
    </row>
    <row r="19" spans="1:56" x14ac:dyDescent="0.25">
      <c r="A19" t="s">
        <v>173</v>
      </c>
      <c r="B19" t="s">
        <v>174</v>
      </c>
      <c r="C19" s="1"/>
      <c r="D19" s="1"/>
      <c r="E19" s="1"/>
      <c r="F19" s="1"/>
      <c r="H19" s="1"/>
      <c r="I19" s="1"/>
      <c r="J19" s="1"/>
      <c r="K19" s="1"/>
      <c r="M19" s="41"/>
      <c r="N19" s="18"/>
      <c r="O19" s="41"/>
      <c r="R19" s="1"/>
      <c r="S19" s="1"/>
      <c r="T19" s="1"/>
      <c r="U19" s="1"/>
      <c r="W19" s="1"/>
      <c r="X19" s="1"/>
      <c r="Y19" s="1"/>
      <c r="Z19" s="1"/>
      <c r="AB19" s="41"/>
      <c r="AC19" s="18"/>
      <c r="AD19" s="41"/>
      <c r="AG19" s="1"/>
      <c r="AH19" s="1"/>
      <c r="AI19" s="1"/>
      <c r="AJ19" s="1"/>
      <c r="AL19" s="20">
        <v>0.67045402283005873</v>
      </c>
      <c r="AM19" s="20">
        <v>0.82151100139397093</v>
      </c>
      <c r="AN19" s="20">
        <v>1.0684774731379512</v>
      </c>
      <c r="AO19" s="20">
        <v>1.0857134961392441</v>
      </c>
      <c r="AZ19" s="20">
        <v>0.46481332017998428</v>
      </c>
      <c r="BA19" s="20">
        <v>0.55080659931087483</v>
      </c>
      <c r="BB19" s="20">
        <v>0.68827778454829092</v>
      </c>
      <c r="BC19" s="20">
        <v>0.69044237886656723</v>
      </c>
    </row>
    <row r="20" spans="1:56" x14ac:dyDescent="0.25">
      <c r="A20" t="s">
        <v>15</v>
      </c>
      <c r="B20" t="s">
        <v>16</v>
      </c>
      <c r="C20" s="1">
        <v>0.05</v>
      </c>
      <c r="D20" s="1">
        <v>0.05</v>
      </c>
      <c r="E20" s="1">
        <v>0.05</v>
      </c>
      <c r="F20" s="1">
        <v>0.05</v>
      </c>
      <c r="H20" s="1">
        <v>0.05</v>
      </c>
      <c r="I20" s="1">
        <v>0.05</v>
      </c>
      <c r="J20" s="1">
        <v>0.05</v>
      </c>
      <c r="K20" s="1">
        <v>0.05</v>
      </c>
      <c r="M20" s="41">
        <v>0.05</v>
      </c>
      <c r="N20" s="18"/>
      <c r="O20" s="41">
        <v>0.05</v>
      </c>
      <c r="R20" s="1">
        <v>0.05</v>
      </c>
      <c r="S20" s="1">
        <v>0.05</v>
      </c>
      <c r="T20" s="1">
        <v>0.05</v>
      </c>
      <c r="U20" s="1">
        <v>0.05</v>
      </c>
      <c r="W20" s="1">
        <v>0.05</v>
      </c>
      <c r="X20" s="1">
        <v>0.05</v>
      </c>
      <c r="Y20" s="1">
        <v>0.05</v>
      </c>
      <c r="Z20" s="1">
        <v>0.05</v>
      </c>
      <c r="AB20" s="41">
        <v>0.05</v>
      </c>
      <c r="AC20" s="18"/>
      <c r="AD20" s="41">
        <v>0.05</v>
      </c>
      <c r="AG20" s="1">
        <v>0.05</v>
      </c>
      <c r="AH20" s="1">
        <v>0.05</v>
      </c>
      <c r="AI20" s="1">
        <v>0.05</v>
      </c>
      <c r="AJ20" s="1">
        <v>0.05</v>
      </c>
      <c r="AL20" s="1">
        <v>0.05</v>
      </c>
      <c r="AM20" s="1">
        <v>0.05</v>
      </c>
      <c r="AN20" s="1">
        <v>0.05</v>
      </c>
      <c r="AO20" s="1">
        <v>0.05</v>
      </c>
      <c r="AZ20" s="1">
        <v>0.05</v>
      </c>
      <c r="BA20" s="1">
        <v>0.05</v>
      </c>
      <c r="BB20" s="1">
        <v>0.05</v>
      </c>
      <c r="BC20" s="1">
        <v>0.05</v>
      </c>
    </row>
    <row r="21" spans="1:56" x14ac:dyDescent="0.25">
      <c r="A21" t="s">
        <v>17</v>
      </c>
      <c r="B21" t="s">
        <v>18</v>
      </c>
      <c r="C21" s="1">
        <v>0.2</v>
      </c>
      <c r="D21" s="1">
        <v>0.2</v>
      </c>
      <c r="E21" s="1">
        <v>0.2</v>
      </c>
      <c r="F21" s="1">
        <v>0.2</v>
      </c>
      <c r="H21" s="1">
        <v>0.2</v>
      </c>
      <c r="I21" s="1">
        <v>0.2</v>
      </c>
      <c r="J21" s="1">
        <v>0.2</v>
      </c>
      <c r="K21" s="1">
        <v>0.2</v>
      </c>
      <c r="M21" s="41">
        <v>0.2</v>
      </c>
      <c r="N21" s="18"/>
      <c r="O21" s="41">
        <v>0.2</v>
      </c>
      <c r="R21" s="1">
        <v>0.2</v>
      </c>
      <c r="S21" s="1">
        <v>0.2</v>
      </c>
      <c r="T21" s="1">
        <v>0.2</v>
      </c>
      <c r="U21" s="1">
        <v>0.2</v>
      </c>
      <c r="W21" s="1">
        <v>0.2</v>
      </c>
      <c r="X21" s="1">
        <v>0.2</v>
      </c>
      <c r="Y21" s="1">
        <v>0.2</v>
      </c>
      <c r="Z21" s="1">
        <v>0.2</v>
      </c>
      <c r="AB21" s="41">
        <v>0.2</v>
      </c>
      <c r="AC21" s="18"/>
      <c r="AD21" s="41">
        <v>0.2</v>
      </c>
      <c r="AG21" s="1">
        <v>0.2</v>
      </c>
      <c r="AH21" s="1">
        <v>0.2</v>
      </c>
      <c r="AI21" s="1">
        <v>0.2</v>
      </c>
      <c r="AJ21" s="1">
        <v>0.2</v>
      </c>
      <c r="AL21" s="1">
        <v>0.2</v>
      </c>
      <c r="AM21" s="1">
        <v>0.2</v>
      </c>
      <c r="AN21" s="1">
        <v>0.2</v>
      </c>
      <c r="AO21" s="1">
        <v>0.2</v>
      </c>
      <c r="AZ21" s="1">
        <v>0.2</v>
      </c>
      <c r="BA21" s="1">
        <v>0.2</v>
      </c>
      <c r="BB21" s="1">
        <v>0.2</v>
      </c>
      <c r="BC21" s="1">
        <v>0.2</v>
      </c>
    </row>
    <row r="22" spans="1:56" x14ac:dyDescent="0.25">
      <c r="A22" t="s">
        <v>20</v>
      </c>
      <c r="B22" t="s">
        <v>19</v>
      </c>
      <c r="C22" s="1">
        <v>3.5999999999999997E-2</v>
      </c>
      <c r="D22" s="1">
        <v>4.1000000000000002E-2</v>
      </c>
      <c r="E22" s="1">
        <v>5.2999999999999999E-2</v>
      </c>
      <c r="F22" s="1">
        <v>7.0000000000000007E-2</v>
      </c>
      <c r="H22" s="1">
        <v>3.5999999999999997E-2</v>
      </c>
      <c r="I22" s="1">
        <v>4.1000000000000002E-2</v>
      </c>
      <c r="J22" s="54">
        <v>0.05</v>
      </c>
      <c r="K22" s="26">
        <v>6.5000000000000002E-2</v>
      </c>
      <c r="L22" s="1"/>
      <c r="M22" s="41">
        <v>7.0000000000000007E-2</v>
      </c>
      <c r="N22" s="41"/>
      <c r="O22" s="42">
        <v>8.2047760608526546E-2</v>
      </c>
      <c r="P22" s="1"/>
      <c r="Q22" s="1"/>
      <c r="R22" s="20">
        <v>7.4999999999999997E-2</v>
      </c>
      <c r="S22" s="20">
        <v>0.09</v>
      </c>
      <c r="T22" s="20">
        <v>0.11</v>
      </c>
      <c r="U22" s="20">
        <v>0.12</v>
      </c>
      <c r="W22" s="20">
        <v>7.4999999999999997E-2</v>
      </c>
      <c r="X22" s="20">
        <v>0.09</v>
      </c>
      <c r="Y22" s="53">
        <v>0.1</v>
      </c>
      <c r="Z22" s="53">
        <v>0.1</v>
      </c>
      <c r="AA22" s="21"/>
      <c r="AB22" s="42">
        <v>0.12</v>
      </c>
      <c r="AC22" s="41"/>
      <c r="AD22" s="42">
        <v>0.11087805051677618</v>
      </c>
      <c r="AE22" s="1"/>
      <c r="AF22" s="21"/>
      <c r="AG22" s="20">
        <v>5.5E-2</v>
      </c>
      <c r="AH22" s="20">
        <v>6.5000000000000002E-2</v>
      </c>
      <c r="AI22" s="20">
        <v>7.0000000000000007E-2</v>
      </c>
      <c r="AJ22" s="20">
        <v>8.5000000000000006E-2</v>
      </c>
      <c r="AK22" s="3"/>
      <c r="AL22" s="20">
        <v>5.5E-2</v>
      </c>
      <c r="AM22" s="53">
        <v>0.06</v>
      </c>
      <c r="AN22" s="20">
        <v>7.0000000000000007E-2</v>
      </c>
      <c r="AO22" s="53">
        <v>7.0000000000000007E-2</v>
      </c>
      <c r="AZ22" s="20">
        <v>5.5E-2</v>
      </c>
      <c r="BA22" s="53">
        <v>0.06</v>
      </c>
      <c r="BB22" s="20">
        <v>7.0000000000000007E-2</v>
      </c>
      <c r="BC22" s="53">
        <v>7.0000000000000007E-2</v>
      </c>
    </row>
    <row r="23" spans="1:56" x14ac:dyDescent="0.25">
      <c r="A23" t="s">
        <v>20</v>
      </c>
      <c r="B23" t="s">
        <v>135</v>
      </c>
      <c r="C23" s="29">
        <f>(12.717*C5+1.4858)/100</f>
        <v>2.0183461465040003E-2</v>
      </c>
      <c r="D23" s="29">
        <f t="shared" ref="D23:F23" si="74">(12.717*D5+1.4858)/100</f>
        <v>2.850992738864E-2</v>
      </c>
      <c r="E23" s="29">
        <f t="shared" si="74"/>
        <v>3.823311566528001E-2</v>
      </c>
      <c r="F23" s="29">
        <f t="shared" si="74"/>
        <v>5.7013328959999991E-2</v>
      </c>
      <c r="H23" s="29">
        <f>(12.717*H5+1.4858)/100</f>
        <v>2.0549711065039999E-2</v>
      </c>
      <c r="I23" s="29">
        <f t="shared" ref="I23:K23" si="75">(12.717*I5+1.4858)/100</f>
        <v>2.8927044988640002E-2</v>
      </c>
      <c r="J23" s="29">
        <f t="shared" si="75"/>
        <v>3.9608461250000004E-2</v>
      </c>
      <c r="K23" s="29">
        <f t="shared" si="75"/>
        <v>5.9942435570000001E-2</v>
      </c>
      <c r="L23" s="1"/>
      <c r="M23" s="41"/>
      <c r="N23" s="41"/>
      <c r="O23" s="42"/>
      <c r="P23" s="1"/>
      <c r="Q23" s="1"/>
      <c r="R23" s="29">
        <f>(19.791*R5+3.9023)/100</f>
        <v>5.5251620000000001E-2</v>
      </c>
      <c r="S23" s="29">
        <f t="shared" ref="S23:U23" si="76">(19.791*S5+3.9023)/100</f>
        <v>6.0950042630000006E-2</v>
      </c>
      <c r="T23" s="29">
        <f t="shared" si="76"/>
        <v>8.3713452920000014E-2</v>
      </c>
      <c r="U23" s="29">
        <f t="shared" si="76"/>
        <v>0.10928025835999999</v>
      </c>
      <c r="W23" s="29">
        <f>(19.791*W5+3.9023)/100</f>
        <v>5.6439079999999996E-2</v>
      </c>
      <c r="X23" s="29">
        <f t="shared" ref="X23:Z23" si="77">(19.791*X5+3.9023)/100</f>
        <v>6.2374994630000007E-2</v>
      </c>
      <c r="Y23" s="29">
        <f t="shared" si="77"/>
        <v>9.127123999999999E-2</v>
      </c>
      <c r="Z23" s="29">
        <f t="shared" si="77"/>
        <v>0.12659817499999998</v>
      </c>
      <c r="AA23" s="21"/>
      <c r="AB23" s="52">
        <f t="shared" ref="AB23" si="78">(19.791*AB5+3.9023)/100</f>
        <v>0.11118019435999998</v>
      </c>
      <c r="AC23" s="41"/>
      <c r="AD23" s="52">
        <f t="shared" ref="AD23" si="79">(19.791*AD5+3.9023)/100</f>
        <v>0.11799326960335911</v>
      </c>
      <c r="AE23" s="1"/>
      <c r="AF23" s="21"/>
      <c r="AG23" s="29">
        <f>(8.477*AG5+3.0361)/100</f>
        <v>4.4661359919999997E-2</v>
      </c>
      <c r="AH23" s="29">
        <f t="shared" ref="AH23:AJ23" si="80">(8.477*AH5+3.0361)/100</f>
        <v>4.726261214E-2</v>
      </c>
      <c r="AI23" s="29">
        <f t="shared" si="80"/>
        <v>5.9537477679999992E-2</v>
      </c>
      <c r="AJ23" s="29">
        <f t="shared" si="80"/>
        <v>8.6359256684999983E-2</v>
      </c>
      <c r="AL23" s="29">
        <f>(8.477*AL5+3.0361)/100</f>
        <v>4.5034347920000002E-2</v>
      </c>
      <c r="AM23" s="29">
        <f t="shared" ref="AM23:AO23" si="81">(8.477*AM5+3.0361)/100</f>
        <v>4.8808901710000005E-2</v>
      </c>
      <c r="AN23" s="29">
        <f t="shared" si="81"/>
        <v>6.0012189680000001E-2</v>
      </c>
      <c r="AO23" s="29">
        <f t="shared" si="81"/>
        <v>7.6047282879999983E-2</v>
      </c>
      <c r="AZ23" s="29">
        <f>(8.477*AZ5+3.0361)/100</f>
        <v>4.5034347920000002E-2</v>
      </c>
      <c r="BA23" s="29">
        <f t="shared" ref="BA23:BC23" si="82">(8.477*BA5+3.0361)/100</f>
        <v>4.8808901710000005E-2</v>
      </c>
      <c r="BB23" s="29">
        <f t="shared" si="82"/>
        <v>6.0012189680000001E-2</v>
      </c>
      <c r="BC23" s="29">
        <f t="shared" si="82"/>
        <v>7.6047282879999983E-2</v>
      </c>
    </row>
    <row r="24" spans="1:56" x14ac:dyDescent="0.25">
      <c r="B24" t="s">
        <v>181</v>
      </c>
      <c r="C24" s="29"/>
      <c r="D24" s="29"/>
      <c r="E24" s="29"/>
      <c r="F24" s="29"/>
      <c r="H24" s="29"/>
      <c r="I24" s="29"/>
      <c r="J24" s="29"/>
      <c r="K24" s="29"/>
      <c r="L24" s="1"/>
      <c r="M24" s="41"/>
      <c r="N24" s="41"/>
      <c r="O24" s="42"/>
      <c r="P24" s="1"/>
      <c r="Q24" s="1"/>
      <c r="R24" s="29"/>
      <c r="S24" s="29"/>
      <c r="T24" s="29"/>
      <c r="U24" s="29"/>
      <c r="W24" s="29"/>
      <c r="X24" s="29"/>
      <c r="Y24" s="29"/>
      <c r="Z24" s="29"/>
      <c r="AA24" s="21"/>
      <c r="AB24" s="52"/>
      <c r="AC24" s="41"/>
      <c r="AD24" s="52"/>
      <c r="AE24" s="1"/>
      <c r="AF24" s="21"/>
      <c r="AG24" s="29"/>
      <c r="AH24" s="29"/>
      <c r="AI24" s="29"/>
      <c r="AJ24" s="29"/>
      <c r="AL24" s="29">
        <f>rtWall*AL22</f>
        <v>4.6199999999999998E-2</v>
      </c>
      <c r="AM24" s="29">
        <f>rtWall*AM22</f>
        <v>5.0399999999999993E-2</v>
      </c>
      <c r="AN24" s="29">
        <f>rtWall*AN22</f>
        <v>5.8800000000000005E-2</v>
      </c>
      <c r="AO24" s="29">
        <f>rtWall*AO22</f>
        <v>5.8800000000000005E-2</v>
      </c>
      <c r="AZ24" s="29">
        <f>$BD$1*AZ22</f>
        <v>3.7509967519358596E-2</v>
      </c>
      <c r="BA24" s="29">
        <f t="shared" ref="BA24:BC24" si="83">$BD$1*BA22</f>
        <v>4.0919964566573007E-2</v>
      </c>
      <c r="BB24" s="29">
        <f t="shared" si="83"/>
        <v>4.7739958661001849E-2</v>
      </c>
      <c r="BC24" s="29">
        <f t="shared" si="83"/>
        <v>4.7739958661001849E-2</v>
      </c>
    </row>
    <row r="25" spans="1:56" x14ac:dyDescent="0.25">
      <c r="B25" t="s">
        <v>183</v>
      </c>
      <c r="C25" s="29"/>
      <c r="D25" s="29"/>
      <c r="E25" s="29"/>
      <c r="F25" s="29"/>
      <c r="H25" s="29"/>
      <c r="I25" s="29"/>
      <c r="J25" s="29"/>
      <c r="K25" s="29"/>
      <c r="L25" s="1"/>
      <c r="M25" s="41"/>
      <c r="N25" s="41"/>
      <c r="O25" s="42"/>
      <c r="P25" s="1"/>
      <c r="Q25" s="1"/>
      <c r="R25" s="29"/>
      <c r="S25" s="29"/>
      <c r="T25" s="29"/>
      <c r="U25" s="29"/>
      <c r="W25" s="29"/>
      <c r="X25" s="29"/>
      <c r="Y25" s="29"/>
      <c r="Z25" s="29"/>
      <c r="AA25" s="21"/>
      <c r="AB25" s="52"/>
      <c r="AC25" s="41"/>
      <c r="AD25" s="52"/>
      <c r="AE25" s="1"/>
      <c r="AF25" s="21"/>
      <c r="AG25" s="29"/>
      <c r="AH25" s="29"/>
      <c r="AI25" s="29"/>
      <c r="AJ25" s="29"/>
      <c r="AL25" s="29">
        <f>(AL11*AL22-AL12*AL24)/AL13</f>
        <v>6.3142843031491439E-2</v>
      </c>
      <c r="AM25" s="29">
        <f t="shared" ref="AM25:AO25" si="84">(AM11*AM22-AM12*AM24)/AM13</f>
        <v>6.8991183510566864E-2</v>
      </c>
      <c r="AN25" s="29">
        <f t="shared" si="84"/>
        <v>8.0688747348883108E-2</v>
      </c>
      <c r="AO25" s="29">
        <f t="shared" si="84"/>
        <v>8.0805468624694871E-2</v>
      </c>
      <c r="AZ25" s="29">
        <f>(AZ11*AZ22-AZ12*AZ24)/AZ13</f>
        <v>8.5896776416628462E-2</v>
      </c>
      <c r="BA25" s="29">
        <f t="shared" ref="BA25:BC25" si="85">(BA11*BA22-BA12*BA24)/BA13</f>
        <v>9.5974474076977109E-2</v>
      </c>
      <c r="BB25" s="29">
        <f t="shared" si="85"/>
        <v>0.11493905477139228</v>
      </c>
      <c r="BC25" s="29">
        <f t="shared" si="85"/>
        <v>0.11511874825841963</v>
      </c>
    </row>
    <row r="26" spans="1:56" x14ac:dyDescent="0.25">
      <c r="A26" t="s">
        <v>21</v>
      </c>
      <c r="B26" t="s">
        <v>22</v>
      </c>
      <c r="C26" s="1">
        <v>5</v>
      </c>
      <c r="D26" s="1">
        <v>5</v>
      </c>
      <c r="E26" s="1">
        <v>5</v>
      </c>
      <c r="F26" s="1">
        <v>5</v>
      </c>
      <c r="H26" s="1">
        <v>5</v>
      </c>
      <c r="I26" s="1">
        <v>5</v>
      </c>
      <c r="J26" s="1">
        <v>5</v>
      </c>
      <c r="K26" s="1">
        <v>5</v>
      </c>
      <c r="M26" s="41">
        <v>5</v>
      </c>
      <c r="N26" s="18"/>
      <c r="O26" s="41">
        <v>5</v>
      </c>
      <c r="R26" s="1">
        <v>-20</v>
      </c>
      <c r="S26" s="1">
        <v>-20</v>
      </c>
      <c r="T26" s="1">
        <v>-20</v>
      </c>
      <c r="U26" s="1">
        <v>-20</v>
      </c>
      <c r="W26" s="1">
        <v>-20</v>
      </c>
      <c r="X26" s="1">
        <v>-20</v>
      </c>
      <c r="Y26" s="1">
        <v>-20</v>
      </c>
      <c r="Z26" s="1">
        <v>-20</v>
      </c>
      <c r="AB26" s="41">
        <v>-20</v>
      </c>
      <c r="AC26" s="18"/>
      <c r="AD26" s="41">
        <v>-20</v>
      </c>
      <c r="AG26" s="1">
        <f>rVFresh*4+(1-rVFresh)*(-20)</f>
        <v>-8</v>
      </c>
      <c r="AH26" s="1">
        <f>rVFresh*4+(1-rVFresh)*(-20)</f>
        <v>-8</v>
      </c>
      <c r="AI26" s="1">
        <f>rVFresh*4+(1-rVFresh)*(-20)</f>
        <v>-8</v>
      </c>
      <c r="AJ26" s="1">
        <f>rVFresh*4+(1-rVFresh)*(-20)</f>
        <v>-8</v>
      </c>
      <c r="AL26" s="62">
        <f>AL29-AL32/(AL31*AL11)</f>
        <v>-6.801594208091668</v>
      </c>
      <c r="AM26" s="62">
        <f t="shared" ref="AM26:AO26" si="86">AM29-AM32/(AM31*AM11)</f>
        <v>-6.7234229126637182</v>
      </c>
      <c r="AN26" s="62">
        <f t="shared" si="86"/>
        <v>-6.6020675809256666</v>
      </c>
      <c r="AO26" s="62">
        <f t="shared" si="86"/>
        <v>-6.5320335999547936</v>
      </c>
      <c r="AZ26" s="62">
        <f>AZ29-AZ32/(AZ31*AZ11)</f>
        <v>7.0947566356217884</v>
      </c>
      <c r="BA26" s="62">
        <f t="shared" ref="BA26:BC26" si="87">BA29-BA32/(BA31*BA11)</f>
        <v>7.5853129862119708</v>
      </c>
      <c r="BB26" s="62">
        <f t="shared" si="87"/>
        <v>8.0771583151499087</v>
      </c>
      <c r="BC26" s="62">
        <f t="shared" si="87"/>
        <v>8.1051395289402492</v>
      </c>
    </row>
    <row r="27" spans="1:56" x14ac:dyDescent="0.25">
      <c r="C27" s="1"/>
      <c r="D27" s="1"/>
      <c r="E27" s="1"/>
      <c r="F27" s="1"/>
      <c r="H27" s="1"/>
      <c r="I27" s="1"/>
      <c r="J27" s="1"/>
      <c r="K27" s="1"/>
      <c r="M27" s="41"/>
      <c r="N27" s="18"/>
      <c r="O27" s="41"/>
      <c r="R27" s="1"/>
      <c r="S27" s="1"/>
      <c r="T27" s="1"/>
      <c r="U27" s="1"/>
      <c r="W27" s="1"/>
      <c r="X27" s="1"/>
      <c r="Y27" s="1"/>
      <c r="Z27" s="1"/>
      <c r="AB27" s="41"/>
      <c r="AC27" s="18"/>
      <c r="AD27" s="41"/>
      <c r="AG27" s="1"/>
      <c r="AH27" s="1"/>
      <c r="AI27" s="1"/>
      <c r="AJ27" s="1"/>
      <c r="AL27" s="51">
        <v>5</v>
      </c>
      <c r="AM27" s="51">
        <f>AL27</f>
        <v>5</v>
      </c>
      <c r="AN27" s="51">
        <f>AL27</f>
        <v>5</v>
      </c>
      <c r="AO27" s="51">
        <f>AL27</f>
        <v>5</v>
      </c>
      <c r="AZ27" s="51">
        <v>17</v>
      </c>
      <c r="BA27" s="51">
        <f>AZ27</f>
        <v>17</v>
      </c>
      <c r="BB27" s="51">
        <f>AZ27</f>
        <v>17</v>
      </c>
      <c r="BC27" s="51">
        <f>AZ27</f>
        <v>17</v>
      </c>
    </row>
    <row r="28" spans="1:56" x14ac:dyDescent="0.25">
      <c r="C28" s="1"/>
      <c r="D28" s="1"/>
      <c r="E28" s="1"/>
      <c r="F28" s="1"/>
      <c r="H28" s="1"/>
      <c r="I28" s="1"/>
      <c r="J28" s="1"/>
      <c r="K28" s="1"/>
      <c r="M28" s="41"/>
      <c r="N28" s="18"/>
      <c r="O28" s="41"/>
      <c r="R28" s="1"/>
      <c r="S28" s="1"/>
      <c r="T28" s="1"/>
      <c r="U28" s="1"/>
      <c r="W28" s="1"/>
      <c r="X28" s="1"/>
      <c r="Y28" s="1"/>
      <c r="Z28" s="1"/>
      <c r="AB28" s="41"/>
      <c r="AC28" s="18"/>
      <c r="AD28" s="41"/>
      <c r="AG28" s="1"/>
      <c r="AH28" s="1"/>
      <c r="AI28" s="1"/>
      <c r="AJ28" s="1"/>
      <c r="AL28" s="51">
        <v>-20</v>
      </c>
      <c r="AM28" s="51">
        <v>-20</v>
      </c>
      <c r="AN28" s="51">
        <v>-20</v>
      </c>
      <c r="AO28" s="51">
        <v>-20</v>
      </c>
      <c r="AZ28" s="51">
        <v>-20</v>
      </c>
      <c r="BA28" s="51">
        <v>-20</v>
      </c>
      <c r="BB28" s="51">
        <v>-20</v>
      </c>
      <c r="BC28" s="51">
        <v>-20</v>
      </c>
    </row>
    <row r="29" spans="1:56" x14ac:dyDescent="0.25">
      <c r="A29" t="s">
        <v>23</v>
      </c>
      <c r="B29" t="s">
        <v>24</v>
      </c>
      <c r="C29" s="1">
        <v>25</v>
      </c>
      <c r="D29" s="1">
        <v>25</v>
      </c>
      <c r="E29" s="1">
        <v>25</v>
      </c>
      <c r="F29" s="1">
        <v>25</v>
      </c>
      <c r="H29" s="1">
        <v>25</v>
      </c>
      <c r="I29" s="1">
        <v>25</v>
      </c>
      <c r="J29" s="1">
        <v>25</v>
      </c>
      <c r="K29" s="1">
        <v>25</v>
      </c>
      <c r="M29" s="41">
        <v>25</v>
      </c>
      <c r="N29" s="18"/>
      <c r="O29" s="41">
        <v>25</v>
      </c>
      <c r="R29" s="1">
        <v>25</v>
      </c>
      <c r="S29" s="1">
        <v>25</v>
      </c>
      <c r="T29" s="1">
        <v>25</v>
      </c>
      <c r="U29" s="1">
        <v>25</v>
      </c>
      <c r="W29" s="1">
        <v>25</v>
      </c>
      <c r="X29" s="1">
        <v>25</v>
      </c>
      <c r="Y29" s="1">
        <v>25</v>
      </c>
      <c r="Z29" s="1">
        <v>25</v>
      </c>
      <c r="AB29" s="41">
        <v>25</v>
      </c>
      <c r="AC29" s="18"/>
      <c r="AD29" s="41">
        <v>25</v>
      </c>
      <c r="AG29" s="1">
        <v>25</v>
      </c>
      <c r="AH29" s="1">
        <v>25</v>
      </c>
      <c r="AI29" s="1">
        <v>25</v>
      </c>
      <c r="AJ29" s="1">
        <v>25</v>
      </c>
      <c r="AL29" s="1">
        <v>25</v>
      </c>
      <c r="AM29" s="1">
        <v>25</v>
      </c>
      <c r="AN29" s="1">
        <v>25</v>
      </c>
      <c r="AO29" s="1">
        <v>25</v>
      </c>
      <c r="AZ29" s="1">
        <v>25</v>
      </c>
      <c r="BA29" s="1">
        <v>25</v>
      </c>
      <c r="BB29" s="1">
        <v>25</v>
      </c>
      <c r="BC29" s="1">
        <v>25</v>
      </c>
    </row>
    <row r="30" spans="1:56" x14ac:dyDescent="0.25">
      <c r="A30" t="s">
        <v>25</v>
      </c>
      <c r="B30" t="s">
        <v>26</v>
      </c>
      <c r="C30" s="1">
        <v>0.02</v>
      </c>
      <c r="D30" s="1">
        <v>0.02</v>
      </c>
      <c r="E30" s="1">
        <v>0.02</v>
      </c>
      <c r="F30" s="1">
        <v>0.02</v>
      </c>
      <c r="H30" s="1">
        <v>0.02</v>
      </c>
      <c r="I30" s="1">
        <v>0.02</v>
      </c>
      <c r="J30" s="1">
        <v>0.02</v>
      </c>
      <c r="K30" s="1">
        <v>0.02</v>
      </c>
      <c r="M30" s="41">
        <v>0.02</v>
      </c>
      <c r="N30" s="18"/>
      <c r="O30" s="41">
        <v>0.02</v>
      </c>
      <c r="R30" s="1">
        <v>0.02</v>
      </c>
      <c r="S30" s="1">
        <v>0.02</v>
      </c>
      <c r="T30" s="1">
        <v>0.02</v>
      </c>
      <c r="U30" s="1">
        <v>0.02</v>
      </c>
      <c r="W30" s="1">
        <v>0.02</v>
      </c>
      <c r="X30" s="1">
        <v>0.02</v>
      </c>
      <c r="Y30" s="1">
        <v>0.02</v>
      </c>
      <c r="Z30" s="1">
        <v>0.02</v>
      </c>
      <c r="AB30" s="41">
        <v>0.02</v>
      </c>
      <c r="AC30" s="18"/>
      <c r="AD30" s="41">
        <v>0.02</v>
      </c>
      <c r="AG30" s="1">
        <v>0.02</v>
      </c>
      <c r="AH30" s="1">
        <v>0.02</v>
      </c>
      <c r="AI30" s="1">
        <v>0.02</v>
      </c>
      <c r="AJ30" s="1">
        <v>0.02</v>
      </c>
      <c r="AL30" s="1">
        <v>0.02</v>
      </c>
      <c r="AM30" s="1">
        <v>0.02</v>
      </c>
      <c r="AN30" s="1">
        <v>0.02</v>
      </c>
      <c r="AO30" s="1">
        <v>0.02</v>
      </c>
      <c r="AZ30" s="1">
        <v>0.02</v>
      </c>
      <c r="BA30" s="1">
        <v>0.02</v>
      </c>
      <c r="BB30" s="1">
        <v>0.02</v>
      </c>
      <c r="BC30" s="1">
        <v>0.02</v>
      </c>
    </row>
    <row r="31" spans="1:56" x14ac:dyDescent="0.25">
      <c r="A31" t="s">
        <v>27</v>
      </c>
      <c r="B31" t="s">
        <v>28</v>
      </c>
      <c r="C31" s="3">
        <f>C30/C22</f>
        <v>0.55555555555555558</v>
      </c>
      <c r="D31" s="3">
        <f t="shared" ref="D31:F31" si="88">D30/D22</f>
        <v>0.48780487804878048</v>
      </c>
      <c r="E31" s="3">
        <f t="shared" si="88"/>
        <v>0.37735849056603776</v>
      </c>
      <c r="F31" s="3">
        <f t="shared" si="88"/>
        <v>0.2857142857142857</v>
      </c>
      <c r="H31" s="3">
        <f>H30/H22</f>
        <v>0.55555555555555558</v>
      </c>
      <c r="I31" s="3">
        <f t="shared" ref="I31" si="89">I30/I22</f>
        <v>0.48780487804878048</v>
      </c>
      <c r="J31" s="3">
        <f t="shared" ref="J31" si="90">J30/J22</f>
        <v>0.39999999999999997</v>
      </c>
      <c r="K31" s="3">
        <f t="shared" ref="K31:M31" si="91">K30/K22</f>
        <v>0.30769230769230771</v>
      </c>
      <c r="M31" s="40">
        <f t="shared" si="91"/>
        <v>0.2857142857142857</v>
      </c>
      <c r="N31" s="18"/>
      <c r="O31" s="40">
        <f t="shared" ref="O31" si="92">O30/O22</f>
        <v>0.24376046160998532</v>
      </c>
      <c r="R31" s="3">
        <f>R30/R22</f>
        <v>0.26666666666666666</v>
      </c>
      <c r="S31" s="3">
        <f t="shared" ref="S31" si="93">S30/S22</f>
        <v>0.22222222222222224</v>
      </c>
      <c r="T31" s="3">
        <f t="shared" ref="T31" si="94">T30/T22</f>
        <v>0.18181818181818182</v>
      </c>
      <c r="U31" s="3">
        <f t="shared" ref="U31" si="95">U30/U22</f>
        <v>0.16666666666666669</v>
      </c>
      <c r="W31" s="3">
        <f>W30/W22</f>
        <v>0.26666666666666666</v>
      </c>
      <c r="X31" s="3">
        <f t="shared" ref="X31" si="96">X30/X22</f>
        <v>0.22222222222222224</v>
      </c>
      <c r="Y31" s="3">
        <f t="shared" ref="Y31" si="97">Y30/Y22</f>
        <v>0.19999999999999998</v>
      </c>
      <c r="Z31" s="3">
        <f t="shared" ref="Z31:AB31" si="98">Z30/Z22</f>
        <v>0.19999999999999998</v>
      </c>
      <c r="AB31" s="40">
        <f t="shared" si="98"/>
        <v>0.16666666666666669</v>
      </c>
      <c r="AC31" s="18"/>
      <c r="AD31" s="40">
        <f t="shared" ref="AD31" si="99">AD30/AD22</f>
        <v>0.18037835177282396</v>
      </c>
      <c r="AG31" s="3">
        <f>AG30/AG22</f>
        <v>0.36363636363636365</v>
      </c>
      <c r="AH31" s="3">
        <f t="shared" ref="AH31" si="100">AH30/AH22</f>
        <v>0.30769230769230771</v>
      </c>
      <c r="AI31" s="3">
        <f t="shared" ref="AI31" si="101">AI30/AI22</f>
        <v>0.2857142857142857</v>
      </c>
      <c r="AJ31" s="3">
        <f t="shared" ref="AJ31" si="102">AJ30/AJ22</f>
        <v>0.23529411764705882</v>
      </c>
      <c r="AL31" s="3">
        <f>AL30/AL22</f>
        <v>0.36363636363636365</v>
      </c>
      <c r="AM31" s="3">
        <f t="shared" ref="AM31:AO31" si="103">AM30/AM22</f>
        <v>0.33333333333333337</v>
      </c>
      <c r="AN31" s="3">
        <f t="shared" si="103"/>
        <v>0.2857142857142857</v>
      </c>
      <c r="AO31" s="3">
        <f t="shared" si="103"/>
        <v>0.2857142857142857</v>
      </c>
      <c r="AZ31" s="3">
        <f>AZ30/AZ22</f>
        <v>0.36363636363636365</v>
      </c>
      <c r="BA31" s="3">
        <f t="shared" ref="BA31:BC31" si="104">BA30/BA22</f>
        <v>0.33333333333333337</v>
      </c>
      <c r="BB31" s="3">
        <f t="shared" si="104"/>
        <v>0.2857142857142857</v>
      </c>
      <c r="BC31" s="3">
        <f t="shared" si="104"/>
        <v>0.2857142857142857</v>
      </c>
    </row>
    <row r="32" spans="1:56" x14ac:dyDescent="0.25">
      <c r="A32" t="s">
        <v>29</v>
      </c>
      <c r="B32" t="s">
        <v>30</v>
      </c>
      <c r="C32" s="4">
        <f>C11*C31*(C29-C26)</f>
        <v>11.115200000000003</v>
      </c>
      <c r="D32" s="4">
        <f t="shared" ref="D32:F32" si="105">D11*D31*(D29-D26)</f>
        <v>16.78132195121951</v>
      </c>
      <c r="E32" s="4">
        <f t="shared" si="105"/>
        <v>19.413203773584907</v>
      </c>
      <c r="F32" s="4">
        <f t="shared" si="105"/>
        <v>23.779142857142862</v>
      </c>
      <c r="H32" s="4">
        <f>H11*H31*(H29-H26)</f>
        <v>11.282400000000001</v>
      </c>
      <c r="I32" s="4">
        <f t="shared" ref="I32" si="106">I11*I31*(I29-I26)</f>
        <v>16.949521951219509</v>
      </c>
      <c r="J32" s="4">
        <f t="shared" ref="J32" si="107">J11*J31*(J29-J26)</f>
        <v>20.959999999999997</v>
      </c>
      <c r="K32" s="4">
        <f t="shared" ref="K32:M32" si="108">K11*K31*(K29-K26)</f>
        <v>26.142461538461532</v>
      </c>
      <c r="M32" s="39">
        <f t="shared" si="108"/>
        <v>23.953142857142858</v>
      </c>
      <c r="N32" s="18"/>
      <c r="O32" s="39">
        <f t="shared" ref="O32" si="109">O11*O31*(O29-O26)</f>
        <v>19.77996246031659</v>
      </c>
      <c r="R32" s="4">
        <f>R11*R31*(R29-R26)</f>
        <v>20.591249999999999</v>
      </c>
      <c r="S32" s="4">
        <f t="shared" ref="S32" si="110">S11*S31*(S29-S26)</f>
        <v>22.535500000000003</v>
      </c>
      <c r="T32" s="4">
        <f t="shared" ref="T32" si="111">T11*T31*(T29-T26)</f>
        <v>32.37177272727272</v>
      </c>
      <c r="U32" s="4">
        <f t="shared" ref="U32" si="112">U11*U31*(U29-U26)</f>
        <v>37.614000000000004</v>
      </c>
      <c r="W32" s="4">
        <f>W11*W31*(W29-W26)</f>
        <v>20.984999999999999</v>
      </c>
      <c r="X32" s="4">
        <f t="shared" ref="X32" si="113">X11*X31*(X29-X26)</f>
        <v>22.936000000000003</v>
      </c>
      <c r="Y32" s="4">
        <f t="shared" ref="Y32" si="114">Y11*Y31*(Y29-Y26)</f>
        <v>37.079999999999991</v>
      </c>
      <c r="Z32" s="4">
        <f t="shared" ref="Z32:AB32" si="115">Z11*Z31*(Z29-Z26)</f>
        <v>47.879999999999995</v>
      </c>
      <c r="AB32" s="39">
        <f t="shared" si="115"/>
        <v>38.027999999999999</v>
      </c>
      <c r="AC32" s="18"/>
      <c r="AD32" s="39">
        <f t="shared" ref="AD32" si="116">AD11*AD31*(AD29-AD26)</f>
        <v>42.075792982510393</v>
      </c>
      <c r="AG32" s="4">
        <f>AG11*AG31*(AG29-AG26)</f>
        <v>36.54</v>
      </c>
      <c r="AH32" s="4">
        <f t="shared" ref="AH32" si="117">AH11*AH31*(AH29-AH26)</f>
        <v>35.741538461538461</v>
      </c>
      <c r="AI32" s="4">
        <f t="shared" ref="AI32" si="118">AI11*AI31*(AI29-AI26)</f>
        <v>47.133428571428567</v>
      </c>
      <c r="AJ32" s="4">
        <f t="shared" ref="AJ32" si="119">AJ11*AJ31*(AJ29-AJ26)</f>
        <v>57.48988235294118</v>
      </c>
      <c r="AL32" s="4">
        <f>AL12*AL30/AL24*(AL29-AL27)+AL13*AL30/AL25*(AL29-AL28)</f>
        <v>29.814283675487836</v>
      </c>
      <c r="AM32" s="4">
        <f>AM12*AM30/AM24*(AM29-AM27)+AM13*AM30/AM25*(AM29-AM28)</f>
        <v>33.041002410969689</v>
      </c>
      <c r="AN32" s="4">
        <f>AN12*AN30/AN24*(AN29-AN27)+AN13*AN30/AN25*(AN29-AN28)</f>
        <v>40.336879060293512</v>
      </c>
      <c r="AO32" s="4">
        <f>AO12*AO30/AO24*(AO29-AO27)+AO13*AO30/AO25*(AO29-AO28)</f>
        <v>50.247646914396505</v>
      </c>
      <c r="AP32" s="4"/>
      <c r="AZ32" s="4">
        <f>AZ12*AZ30/AZ24*(AZ29-AZ27)+AZ13*AZ30/AZ25*(AZ29-AZ28)</f>
        <v>16.786328429044254</v>
      </c>
      <c r="BA32" s="4">
        <f>BA12*BA30/BA24*(BA29-BA27)+BA13*BA30/BA25*(BA29-BA28)</f>
        <v>18.13797701442736</v>
      </c>
      <c r="BB32" s="4">
        <f>BB12*BB30/BB24*(BB29-BB27)+BB13*BB30/BB25*(BB29-BB28)</f>
        <v>21.60031512654265</v>
      </c>
      <c r="BC32" s="4">
        <f>BC12*BC30/BC24*(BC29-BC27)+BC13*BC30/BC25*(BC29-BC28)</f>
        <v>26.92268422608246</v>
      </c>
      <c r="BD32" s="4"/>
    </row>
    <row r="33" spans="1:57" x14ac:dyDescent="0.25">
      <c r="A33" t="s">
        <v>31</v>
      </c>
      <c r="B33" t="s">
        <v>32</v>
      </c>
      <c r="C33" s="1">
        <v>0.08</v>
      </c>
      <c r="D33" s="1">
        <v>0.08</v>
      </c>
      <c r="E33" s="1">
        <v>0.08</v>
      </c>
      <c r="F33" s="1">
        <v>0.08</v>
      </c>
      <c r="H33" s="1">
        <v>0.08</v>
      </c>
      <c r="I33" s="1">
        <v>0.08</v>
      </c>
      <c r="J33" s="1">
        <v>0.08</v>
      </c>
      <c r="K33" s="1">
        <v>0.08</v>
      </c>
      <c r="M33" s="41">
        <v>0.08</v>
      </c>
      <c r="N33" s="18"/>
      <c r="O33" s="41">
        <v>0.08</v>
      </c>
      <c r="R33" s="1">
        <v>0.03</v>
      </c>
      <c r="S33" s="1">
        <v>0.03</v>
      </c>
      <c r="T33" s="1">
        <v>0.03</v>
      </c>
      <c r="U33" s="1">
        <v>0.03</v>
      </c>
      <c r="W33" s="1">
        <v>0.03</v>
      </c>
      <c r="X33" s="1">
        <v>0.03</v>
      </c>
      <c r="Y33" s="1">
        <v>0.03</v>
      </c>
      <c r="Z33" s="1">
        <v>0.03</v>
      </c>
      <c r="AB33" s="41">
        <v>0.03</v>
      </c>
      <c r="AC33" s="18"/>
      <c r="AD33" s="41">
        <v>0.03</v>
      </c>
      <c r="AG33" s="1">
        <v>7.0000000000000007E-2</v>
      </c>
      <c r="AH33" s="1">
        <v>6.7500000000000004E-2</v>
      </c>
      <c r="AI33" s="1">
        <v>6.7500000000000004E-2</v>
      </c>
      <c r="AJ33" s="1">
        <v>6.7500000000000004E-2</v>
      </c>
      <c r="AL33" s="1">
        <v>7.0000000000000007E-2</v>
      </c>
      <c r="AM33" s="1">
        <v>6.7500000000000004E-2</v>
      </c>
      <c r="AN33" s="1">
        <v>6.7500000000000004E-2</v>
      </c>
      <c r="AO33" s="1">
        <v>6.7500000000000004E-2</v>
      </c>
      <c r="AZ33" s="1">
        <v>7.0000000000000007E-2</v>
      </c>
      <c r="BA33" s="1">
        <v>6.7500000000000004E-2</v>
      </c>
      <c r="BB33" s="1">
        <v>6.7500000000000004E-2</v>
      </c>
      <c r="BC33" s="1">
        <v>6.7500000000000004E-2</v>
      </c>
    </row>
    <row r="34" spans="1:57" x14ac:dyDescent="0.25">
      <c r="A34" t="s">
        <v>33</v>
      </c>
      <c r="B34" t="s">
        <v>34</v>
      </c>
      <c r="C34" s="4">
        <f>C33*C15*(C29-C26)</f>
        <v>2.944</v>
      </c>
      <c r="D34" s="4">
        <f t="shared" ref="D34:F34" si="120">D33*D15*(D29-D26)</f>
        <v>4.0640000000000001</v>
      </c>
      <c r="E34" s="4">
        <f t="shared" si="120"/>
        <v>5.44</v>
      </c>
      <c r="F34" s="4">
        <f t="shared" si="120"/>
        <v>7.7439999999999998</v>
      </c>
      <c r="H34" s="4">
        <f>H33*H15*(H29-H26)</f>
        <v>2.944</v>
      </c>
      <c r="I34" s="4">
        <f t="shared" ref="I34" si="121">I33*I15*(I29-I26)</f>
        <v>4.0640000000000001</v>
      </c>
      <c r="J34" s="4">
        <f t="shared" ref="J34" si="122">J33*J15*(J29-J26)</f>
        <v>5.44</v>
      </c>
      <c r="K34" s="4">
        <f t="shared" ref="K34:M34" si="123">K33*K15*(K29-K26)</f>
        <v>7.7439999999999998</v>
      </c>
      <c r="M34" s="39">
        <f t="shared" si="123"/>
        <v>7.7439999999999998</v>
      </c>
      <c r="N34" s="18"/>
      <c r="O34" s="39">
        <f t="shared" ref="O34" si="124">O33*O15*(O29-O26)</f>
        <v>7.7439999999999998</v>
      </c>
      <c r="R34" s="4">
        <f>R33*R15*(R29-R26)</f>
        <v>3.645</v>
      </c>
      <c r="S34" s="4">
        <f t="shared" ref="S34" si="125">S33*S15*(S29-S26)</f>
        <v>4.59</v>
      </c>
      <c r="T34" s="4">
        <f t="shared" ref="T34" si="126">T33*T15*(T29-T26)</f>
        <v>6.8849999999999998</v>
      </c>
      <c r="U34" s="4">
        <f t="shared" ref="U34" si="127">U33*U15*(U29-U26)</f>
        <v>7.4249999999999989</v>
      </c>
      <c r="W34" s="4">
        <f>W33*W15*(W29-W26)</f>
        <v>3.645</v>
      </c>
      <c r="X34" s="4">
        <f t="shared" ref="X34" si="128">X33*X15*(X29-X26)</f>
        <v>4.59</v>
      </c>
      <c r="Y34" s="4">
        <f t="shared" ref="Y34" si="129">Y33*Y15*(Y29-Y26)</f>
        <v>6.8849999999999998</v>
      </c>
      <c r="Z34" s="4">
        <f t="shared" ref="Z34:AB34" si="130">Z33*Z15*(Z29-Z26)</f>
        <v>7.4249999999999989</v>
      </c>
      <c r="AB34" s="39">
        <f t="shared" si="130"/>
        <v>7.4249999999999989</v>
      </c>
      <c r="AC34" s="18"/>
      <c r="AD34" s="39">
        <f t="shared" ref="AD34" si="131">AD33*AD15*(AD29-AD26)</f>
        <v>7.4249999999999989</v>
      </c>
      <c r="AG34" s="4">
        <f>AG33*AG15*(AG29-AG26)</f>
        <v>10.395000000000001</v>
      </c>
      <c r="AH34" s="4">
        <f t="shared" ref="AH34" si="132">AH33*AH15*(AH29-AH26)</f>
        <v>11.360250000000001</v>
      </c>
      <c r="AI34" s="4">
        <f t="shared" ref="AI34" si="133">AI33*AI15*(AI29-AI26)</f>
        <v>14.033250000000001</v>
      </c>
      <c r="AJ34" s="4">
        <f t="shared" ref="AJ34" si="134">AJ33*AJ15*(AJ29-AJ26)</f>
        <v>16.038</v>
      </c>
      <c r="AL34" s="4">
        <f>AL33*AL15*(AL29-AL26)</f>
        <v>10.017502175548877</v>
      </c>
      <c r="AM34" s="4">
        <f t="shared" ref="AM34:AO34" si="135">AM33*AM15*(AM29-AM26)</f>
        <v>10.920788337684485</v>
      </c>
      <c r="AN34" s="4">
        <f t="shared" si="135"/>
        <v>13.438779238788641</v>
      </c>
      <c r="AO34" s="4">
        <f t="shared" si="135"/>
        <v>14.47320342237925</v>
      </c>
      <c r="AZ34" s="4">
        <f>AZ33*AZ15*(AZ29-AZ26)</f>
        <v>5.6401516597791375</v>
      </c>
      <c r="BA34" s="4">
        <f t="shared" ref="BA34:BC34" si="136">BA33*BA15*(BA29-BA26)</f>
        <v>5.9950060044965294</v>
      </c>
      <c r="BB34" s="4">
        <f t="shared" si="136"/>
        <v>7.1964384264825014</v>
      </c>
      <c r="BC34" s="4">
        <f t="shared" si="136"/>
        <v>7.7547409562164251</v>
      </c>
    </row>
    <row r="35" spans="1:57" x14ac:dyDescent="0.25">
      <c r="A35" t="s">
        <v>35</v>
      </c>
      <c r="B35" t="s">
        <v>36</v>
      </c>
      <c r="C35" s="4">
        <f>C32+C34</f>
        <v>14.059200000000004</v>
      </c>
      <c r="D35" s="4">
        <f t="shared" ref="D35:F35" si="137">D32+D34</f>
        <v>20.84532195121951</v>
      </c>
      <c r="E35" s="4">
        <f t="shared" si="137"/>
        <v>24.853203773584909</v>
      </c>
      <c r="F35" s="4">
        <f t="shared" si="137"/>
        <v>31.523142857142862</v>
      </c>
      <c r="H35" s="4">
        <f>H32+H34</f>
        <v>14.226400000000002</v>
      </c>
      <c r="I35" s="4">
        <f t="shared" ref="I35" si="138">I32+I34</f>
        <v>21.013521951219509</v>
      </c>
      <c r="J35" s="4">
        <f t="shared" ref="J35" si="139">J32+J34</f>
        <v>26.4</v>
      </c>
      <c r="K35" s="4">
        <f t="shared" ref="K35:M35" si="140">K32+K34</f>
        <v>33.886461538461532</v>
      </c>
      <c r="M35" s="39">
        <f t="shared" si="140"/>
        <v>31.697142857142858</v>
      </c>
      <c r="N35" s="18"/>
      <c r="O35" s="39">
        <f t="shared" ref="O35" si="141">O32+O34</f>
        <v>27.523962460316589</v>
      </c>
      <c r="R35" s="4">
        <f>R32+R34</f>
        <v>24.236249999999998</v>
      </c>
      <c r="S35" s="4">
        <f t="shared" ref="S35" si="142">S32+S34</f>
        <v>27.125500000000002</v>
      </c>
      <c r="T35" s="4">
        <f t="shared" ref="T35" si="143">T32+T34</f>
        <v>39.256772727272718</v>
      </c>
      <c r="U35" s="4">
        <f t="shared" ref="U35" si="144">U32+U34</f>
        <v>45.039000000000001</v>
      </c>
      <c r="W35" s="4">
        <f>W32+W34</f>
        <v>24.63</v>
      </c>
      <c r="X35" s="4">
        <f t="shared" ref="X35" si="145">X32+X34</f>
        <v>27.526000000000003</v>
      </c>
      <c r="Y35" s="4">
        <f t="shared" ref="Y35" si="146">Y32+Y34</f>
        <v>43.964999999999989</v>
      </c>
      <c r="Z35" s="4">
        <f t="shared" ref="Z35:AB35" si="147">Z32+Z34</f>
        <v>55.304999999999993</v>
      </c>
      <c r="AB35" s="39">
        <f t="shared" si="147"/>
        <v>45.452999999999996</v>
      </c>
      <c r="AC35" s="18"/>
      <c r="AD35" s="39">
        <f t="shared" ref="AD35" si="148">AD32+AD34</f>
        <v>49.50079298251039</v>
      </c>
      <c r="AG35" s="4">
        <f>AG32+AG34</f>
        <v>46.935000000000002</v>
      </c>
      <c r="AH35" s="4">
        <f t="shared" ref="AH35" si="149">AH32+AH34</f>
        <v>47.101788461538462</v>
      </c>
      <c r="AI35" s="4">
        <f t="shared" ref="AI35" si="150">AI32+AI34</f>
        <v>61.166678571428569</v>
      </c>
      <c r="AJ35" s="4">
        <f t="shared" ref="AJ35" si="151">AJ32+AJ34</f>
        <v>73.527882352941177</v>
      </c>
      <c r="AL35" s="4">
        <f>AL32+AL34</f>
        <v>39.831785851036713</v>
      </c>
      <c r="AM35" s="4">
        <f t="shared" ref="AM35:AO35" si="152">AM32+AM34</f>
        <v>43.961790748654174</v>
      </c>
      <c r="AN35" s="4">
        <f t="shared" si="152"/>
        <v>53.775658299082153</v>
      </c>
      <c r="AO35" s="4">
        <f t="shared" si="152"/>
        <v>64.720850336775754</v>
      </c>
      <c r="AZ35" s="4">
        <f>AZ32+AZ34</f>
        <v>22.426480088823389</v>
      </c>
      <c r="BA35" s="4">
        <f t="shared" ref="BA35:BC35" si="153">BA32+BA34</f>
        <v>24.132983018923888</v>
      </c>
      <c r="BB35" s="4">
        <f t="shared" si="153"/>
        <v>28.796753553025152</v>
      </c>
      <c r="BC35" s="4">
        <f t="shared" si="153"/>
        <v>34.677425182298883</v>
      </c>
    </row>
    <row r="36" spans="1:57" x14ac:dyDescent="0.25">
      <c r="A36" t="s">
        <v>129</v>
      </c>
      <c r="B36" t="s">
        <v>172</v>
      </c>
      <c r="C36" s="3">
        <f>C35/C6</f>
        <v>0.3357283637741188</v>
      </c>
      <c r="D36" s="3">
        <f t="shared" ref="D36:F36" si="154">D35/D6</f>
        <v>0.19417768034295613</v>
      </c>
      <c r="E36" s="3">
        <f t="shared" si="154"/>
        <v>0.13521139185554198</v>
      </c>
      <c r="F36" s="3">
        <f t="shared" si="154"/>
        <v>9.5095879359563137E-2</v>
      </c>
      <c r="H36" s="3">
        <f>H35/H6</f>
        <v>0.31786070433413433</v>
      </c>
      <c r="I36" s="3">
        <f t="shared" ref="I36" si="155">I35/I6</f>
        <v>0.18994107906359786</v>
      </c>
      <c r="J36" s="3">
        <f t="shared" ref="J36" si="156">J35/J6</f>
        <v>0.135645472061657</v>
      </c>
      <c r="K36" s="3">
        <f t="shared" ref="K36:O36" si="157">K35/K6</f>
        <v>9.5583792041829777E-2</v>
      </c>
      <c r="M36" s="40">
        <f t="shared" si="157"/>
        <v>9.4032249315142813E-2</v>
      </c>
      <c r="N36" s="18"/>
      <c r="O36" s="40">
        <f t="shared" si="157"/>
        <v>9.2608814171277504E-2</v>
      </c>
      <c r="R36" s="3">
        <f>R35/R6</f>
        <v>0.29556402439024387</v>
      </c>
      <c r="S36" s="3">
        <f t="shared" ref="S36" si="158">S35/S6</f>
        <v>0.24483044957713926</v>
      </c>
      <c r="T36" s="3">
        <f t="shared" ref="T36" si="159">T35/T6</f>
        <v>0.1738471504050835</v>
      </c>
      <c r="U36" s="3">
        <f t="shared" ref="U36" si="160">U35/U6</f>
        <v>0.12687185207720653</v>
      </c>
      <c r="W36" s="3">
        <f>W35/W6</f>
        <v>0.2798863636363636</v>
      </c>
      <c r="X36" s="3">
        <f t="shared" ref="X36" si="161">X35/X6</f>
        <v>0.23328502538286164</v>
      </c>
      <c r="Y36" s="3">
        <f t="shared" ref="Y36" si="162">Y35/Y6</f>
        <v>0.16653409090909091</v>
      </c>
      <c r="Z36" s="3">
        <f t="shared" ref="Z36:AD36" si="163">Z35/Z6</f>
        <v>0.12498305084745763</v>
      </c>
      <c r="AB36" s="40">
        <f t="shared" si="163"/>
        <v>0.12466675443504591</v>
      </c>
      <c r="AC36" s="18"/>
      <c r="AD36" s="40">
        <f t="shared" si="163"/>
        <v>0.12405557165214383</v>
      </c>
      <c r="AG36" s="3">
        <f>AG35/AG6</f>
        <v>0.27822236448997012</v>
      </c>
      <c r="AH36" s="3">
        <f t="shared" ref="AH36" si="164">AH35/AH6</f>
        <v>0.23623892057226062</v>
      </c>
      <c r="AI36" s="3">
        <f t="shared" ref="AI36" si="165">AI35/AI6</f>
        <v>0.17771505523623582</v>
      </c>
      <c r="AJ36" s="3">
        <f t="shared" ref="AJ36" si="166">AJ35/AJ6</f>
        <v>0.1113062969463551</v>
      </c>
      <c r="AL36" s="3">
        <f>AL35/AL6</f>
        <v>0.23011384348013073</v>
      </c>
      <c r="AM36" s="3">
        <f t="shared" ref="AM36" si="167">AM35/AM6</f>
        <v>0.20200893631947983</v>
      </c>
      <c r="AN36" s="3">
        <f t="shared" ref="AN36" si="168">AN35/AN6</f>
        <v>0.15373961730405669</v>
      </c>
      <c r="AO36" s="3">
        <f t="shared" ref="AO36" si="169">AO35/AO6</f>
        <v>0.12008826582497582</v>
      </c>
      <c r="AZ36" s="3">
        <f>AZ35/AZ6</f>
        <v>0.12956093779650243</v>
      </c>
      <c r="BA36" s="3">
        <f t="shared" ref="BA36:BC36" si="170">BA35/BA6</f>
        <v>0.11089353156111201</v>
      </c>
      <c r="BB36" s="3">
        <f t="shared" si="170"/>
        <v>8.2327246394989922E-2</v>
      </c>
      <c r="BC36" s="3">
        <f t="shared" si="170"/>
        <v>6.4343280901724281E-2</v>
      </c>
    </row>
    <row r="37" spans="1:57" x14ac:dyDescent="0.25">
      <c r="A37" t="s">
        <v>37</v>
      </c>
      <c r="B37" t="s">
        <v>38</v>
      </c>
      <c r="C37" s="30">
        <f>C35*365*24/1000</f>
        <v>123.15859200000003</v>
      </c>
      <c r="D37" s="30">
        <f t="shared" ref="D37:F37" si="171">D35*365*24/1000</f>
        <v>182.60502029268292</v>
      </c>
      <c r="E37" s="30">
        <f t="shared" si="171"/>
        <v>217.7140650566038</v>
      </c>
      <c r="F37" s="30">
        <f t="shared" si="171"/>
        <v>276.14273142857149</v>
      </c>
      <c r="G37" s="31"/>
      <c r="H37" s="30">
        <f>H35*365*24/1000</f>
        <v>124.62326400000001</v>
      </c>
      <c r="I37" s="30">
        <f t="shared" ref="I37" si="172">I35*365*24/1000</f>
        <v>184.0784522926829</v>
      </c>
      <c r="J37" s="30">
        <f t="shared" ref="J37" si="173">J35*365*24/1000</f>
        <v>231.26400000000001</v>
      </c>
      <c r="K37" s="30">
        <f t="shared" ref="K37:M37" si="174">K35*365*24/1000</f>
        <v>296.84540307692305</v>
      </c>
      <c r="L37" s="31"/>
      <c r="M37" s="43">
        <f t="shared" si="174"/>
        <v>277.66697142857146</v>
      </c>
      <c r="N37" s="44"/>
      <c r="O37" s="43">
        <f t="shared" ref="O37" si="175">O35*365*24/1000</f>
        <v>241.10991115237331</v>
      </c>
      <c r="P37" s="31"/>
      <c r="Q37" s="31"/>
      <c r="R37" s="30">
        <f>R35*365*24/1000</f>
        <v>212.30955</v>
      </c>
      <c r="S37" s="30">
        <f t="shared" ref="S37" si="176">S35*365*24/1000</f>
        <v>237.61938000000001</v>
      </c>
      <c r="T37" s="30">
        <f t="shared" ref="T37" si="177">T35*365*24/1000</f>
        <v>343.88932909090897</v>
      </c>
      <c r="U37" s="30">
        <f t="shared" ref="U37" si="178">U35*365*24/1000</f>
        <v>394.54164000000003</v>
      </c>
      <c r="V37" s="31"/>
      <c r="W37" s="30">
        <f>W35*365*24/1000</f>
        <v>215.75879999999998</v>
      </c>
      <c r="X37" s="30">
        <f t="shared" ref="X37" si="179">X35*365*24/1000</f>
        <v>241.12776000000005</v>
      </c>
      <c r="Y37" s="30">
        <f t="shared" ref="Y37" si="180">Y35*365*24/1000</f>
        <v>385.13339999999988</v>
      </c>
      <c r="Z37" s="30">
        <f t="shared" ref="Z37:AB37" si="181">Z35*365*24/1000</f>
        <v>484.47179999999992</v>
      </c>
      <c r="AA37" s="31"/>
      <c r="AB37" s="43">
        <f t="shared" si="181"/>
        <v>398.16827999999992</v>
      </c>
      <c r="AC37" s="44"/>
      <c r="AD37" s="43">
        <f t="shared" ref="AD37" si="182">AD35*365*24/1000</f>
        <v>433.62694652679096</v>
      </c>
      <c r="AE37" s="31"/>
      <c r="AF37" s="31"/>
      <c r="AG37" s="30">
        <f>AG35*365*24/1000</f>
        <v>411.15060000000005</v>
      </c>
      <c r="AH37" s="30">
        <f t="shared" ref="AH37" si="183">AH35*365*24/1000</f>
        <v>412.61166692307694</v>
      </c>
      <c r="AI37" s="30">
        <f t="shared" ref="AI37" si="184">AI35*365*24/1000</f>
        <v>535.82010428571425</v>
      </c>
      <c r="AJ37" s="30">
        <f t="shared" ref="AJ37" si="185">AJ35*365*24/1000</f>
        <v>644.10424941176484</v>
      </c>
      <c r="AK37" s="31"/>
      <c r="AL37" s="30">
        <f>AL35*365*24/1000</f>
        <v>348.92644405508156</v>
      </c>
      <c r="AM37" s="30">
        <f t="shared" ref="AM37:AO37" si="186">AM35*365*24/1000</f>
        <v>385.10528695821051</v>
      </c>
      <c r="AN37" s="30">
        <f t="shared" si="186"/>
        <v>471.0747666999597</v>
      </c>
      <c r="AO37" s="30">
        <f t="shared" si="186"/>
        <v>566.95464895015562</v>
      </c>
      <c r="AP37" s="4">
        <f>SUM(AL37:AO37)</f>
        <v>1772.0611466634075</v>
      </c>
      <c r="AZ37" s="30">
        <f>AZ35*365*24/1000</f>
        <v>196.4559655780929</v>
      </c>
      <c r="BA37" s="30">
        <f t="shared" ref="BA37:BC37" si="187">BA35*365*24/1000</f>
        <v>211.40493124577327</v>
      </c>
      <c r="BB37" s="30">
        <f t="shared" si="187"/>
        <v>252.25956112450035</v>
      </c>
      <c r="BC37" s="30">
        <f t="shared" si="187"/>
        <v>303.77424459693822</v>
      </c>
      <c r="BE37" s="4">
        <f>SUM(AZ37:BC37)</f>
        <v>963.89470254530465</v>
      </c>
    </row>
    <row r="38" spans="1:57" x14ac:dyDescent="0.25">
      <c r="A38" t="s">
        <v>39</v>
      </c>
      <c r="B38" t="s">
        <v>40</v>
      </c>
      <c r="C38" s="1">
        <v>25</v>
      </c>
      <c r="D38" s="1">
        <v>19</v>
      </c>
      <c r="E38" s="1">
        <v>16</v>
      </c>
      <c r="F38" s="1">
        <v>14</v>
      </c>
      <c r="H38" s="1">
        <v>25</v>
      </c>
      <c r="I38" s="1">
        <v>19</v>
      </c>
      <c r="J38" s="1">
        <v>16</v>
      </c>
      <c r="K38" s="1">
        <v>14</v>
      </c>
      <c r="M38" s="41">
        <v>14</v>
      </c>
      <c r="N38" s="18"/>
      <c r="O38" s="41">
        <v>14</v>
      </c>
      <c r="R38" s="1">
        <v>12</v>
      </c>
      <c r="S38" s="1">
        <v>9</v>
      </c>
      <c r="T38" s="1">
        <v>8</v>
      </c>
      <c r="U38" s="1">
        <v>8</v>
      </c>
      <c r="W38" s="1">
        <v>12</v>
      </c>
      <c r="X38" s="1">
        <v>9</v>
      </c>
      <c r="Y38" s="1">
        <v>8</v>
      </c>
      <c r="Z38" s="1">
        <v>8</v>
      </c>
      <c r="AB38" s="41">
        <v>8</v>
      </c>
      <c r="AC38" s="18"/>
      <c r="AD38" s="41">
        <v>8</v>
      </c>
      <c r="AG38" s="1">
        <f>22*rVFresh+10*(1-rVFresh)</f>
        <v>16</v>
      </c>
      <c r="AH38" s="1">
        <f>21*rVFresh+10*(1-rVFresh)</f>
        <v>15.5</v>
      </c>
      <c r="AI38" s="1">
        <f>18*rVFresh+8*(1-rVFresh)</f>
        <v>13</v>
      </c>
      <c r="AJ38" s="1">
        <f>16*rVFresh+6*(1-rVFresh)</f>
        <v>11</v>
      </c>
      <c r="AL38" s="51"/>
      <c r="AM38" s="51"/>
      <c r="AN38" s="51"/>
      <c r="AO38" s="51"/>
      <c r="AZ38" s="51"/>
      <c r="BA38" s="51"/>
      <c r="BB38" s="51"/>
      <c r="BC38" s="51"/>
    </row>
    <row r="39" spans="1:57" x14ac:dyDescent="0.25">
      <c r="A39" t="s">
        <v>41</v>
      </c>
      <c r="B39" t="s">
        <v>42</v>
      </c>
      <c r="C39" s="1">
        <v>21</v>
      </c>
      <c r="D39" s="1">
        <v>13</v>
      </c>
      <c r="E39" s="1">
        <v>10</v>
      </c>
      <c r="F39" s="1">
        <v>9</v>
      </c>
      <c r="H39" s="1">
        <v>21</v>
      </c>
      <c r="I39" s="1">
        <v>13</v>
      </c>
      <c r="J39" s="1">
        <v>10</v>
      </c>
      <c r="K39" s="1">
        <v>9</v>
      </c>
      <c r="M39" s="41">
        <v>9</v>
      </c>
      <c r="N39" s="18"/>
      <c r="O39" s="41">
        <v>9</v>
      </c>
      <c r="R39" s="1">
        <v>11</v>
      </c>
      <c r="S39" s="1">
        <v>9</v>
      </c>
      <c r="T39" s="1">
        <v>7</v>
      </c>
      <c r="U39" s="1">
        <v>6</v>
      </c>
      <c r="W39" s="1">
        <v>11</v>
      </c>
      <c r="X39" s="51">
        <v>11</v>
      </c>
      <c r="Y39" s="51">
        <v>10</v>
      </c>
      <c r="Z39" s="51">
        <v>9</v>
      </c>
      <c r="AB39" s="41">
        <v>6</v>
      </c>
      <c r="AC39" s="18"/>
      <c r="AD39" s="41">
        <v>6</v>
      </c>
      <c r="AG39" s="1">
        <f>19*rVFresh+10*(1-rVFresh)</f>
        <v>14.5</v>
      </c>
      <c r="AH39" s="1">
        <f>17*rVFresh+10*(1-rVFresh)</f>
        <v>13.5</v>
      </c>
      <c r="AI39" s="1">
        <f>14*rVFresh+10*(1-rVFresh)</f>
        <v>12</v>
      </c>
      <c r="AJ39" s="1">
        <f>13*rVFresh+8*(1-rVFresh)</f>
        <v>10.5</v>
      </c>
      <c r="AL39" s="51">
        <v>13</v>
      </c>
      <c r="AM39" s="51">
        <v>12</v>
      </c>
      <c r="AN39" s="51">
        <v>11</v>
      </c>
      <c r="AO39" s="51">
        <v>10</v>
      </c>
      <c r="AZ39" s="51">
        <v>13</v>
      </c>
      <c r="BA39" s="51">
        <v>12</v>
      </c>
      <c r="BB39" s="51">
        <v>11</v>
      </c>
      <c r="BC39" s="51">
        <v>10</v>
      </c>
    </row>
    <row r="40" spans="1:57" x14ac:dyDescent="0.25">
      <c r="A40" t="s">
        <v>43</v>
      </c>
      <c r="B40" t="s">
        <v>44</v>
      </c>
      <c r="C40">
        <f>C26-C38</f>
        <v>-20</v>
      </c>
      <c r="D40">
        <f t="shared" ref="D40:F40" si="188">D26-D38</f>
        <v>-14</v>
      </c>
      <c r="E40">
        <f t="shared" si="188"/>
        <v>-11</v>
      </c>
      <c r="F40">
        <f t="shared" si="188"/>
        <v>-9</v>
      </c>
      <c r="H40">
        <f>H26-H38</f>
        <v>-20</v>
      </c>
      <c r="I40">
        <f t="shared" ref="I40:K40" si="189">I26-I38</f>
        <v>-14</v>
      </c>
      <c r="J40">
        <f t="shared" si="189"/>
        <v>-11</v>
      </c>
      <c r="K40">
        <f t="shared" si="189"/>
        <v>-9</v>
      </c>
      <c r="M40" s="18">
        <f t="shared" ref="M40:O40" si="190">M26-M38</f>
        <v>-9</v>
      </c>
      <c r="N40" s="18"/>
      <c r="O40" s="18">
        <f t="shared" si="190"/>
        <v>-9</v>
      </c>
      <c r="R40">
        <f>R26-R38</f>
        <v>-32</v>
      </c>
      <c r="S40">
        <f t="shared" ref="S40:U40" si="191">S26-S38</f>
        <v>-29</v>
      </c>
      <c r="T40">
        <f t="shared" si="191"/>
        <v>-28</v>
      </c>
      <c r="U40">
        <f t="shared" si="191"/>
        <v>-28</v>
      </c>
      <c r="W40">
        <f>W26-W38</f>
        <v>-32</v>
      </c>
      <c r="X40">
        <f t="shared" ref="X40:Z40" si="192">X26-X38</f>
        <v>-29</v>
      </c>
      <c r="Y40">
        <f t="shared" si="192"/>
        <v>-28</v>
      </c>
      <c r="Z40">
        <f t="shared" si="192"/>
        <v>-28</v>
      </c>
      <c r="AB40" s="18">
        <f t="shared" ref="AB40" si="193">AB26-AB38</f>
        <v>-28</v>
      </c>
      <c r="AC40" s="18"/>
      <c r="AD40" s="18">
        <f t="shared" ref="AD40" si="194">AD26-AD38</f>
        <v>-28</v>
      </c>
      <c r="AG40">
        <f>AG26-AG38</f>
        <v>-24</v>
      </c>
      <c r="AH40">
        <f t="shared" ref="AH40:AJ40" si="195">AH26-AH38</f>
        <v>-23.5</v>
      </c>
      <c r="AI40">
        <f t="shared" si="195"/>
        <v>-21</v>
      </c>
      <c r="AJ40">
        <f t="shared" si="195"/>
        <v>-19</v>
      </c>
      <c r="AL40" s="51">
        <v>-26</v>
      </c>
      <c r="AM40" s="51">
        <v>-25</v>
      </c>
      <c r="AN40" s="51">
        <v>-24</v>
      </c>
      <c r="AO40" s="51">
        <v>-23</v>
      </c>
      <c r="AZ40" s="51">
        <v>-26</v>
      </c>
      <c r="BA40" s="51">
        <v>-25</v>
      </c>
      <c r="BB40" s="51">
        <v>-24</v>
      </c>
      <c r="BC40" s="51">
        <v>-23</v>
      </c>
    </row>
    <row r="41" spans="1:57" x14ac:dyDescent="0.25">
      <c r="A41" t="s">
        <v>45</v>
      </c>
      <c r="B41" t="s">
        <v>46</v>
      </c>
      <c r="C41">
        <f>C29+C39</f>
        <v>46</v>
      </c>
      <c r="D41">
        <f t="shared" ref="D41:F41" si="196">D29+D39</f>
        <v>38</v>
      </c>
      <c r="E41">
        <f t="shared" si="196"/>
        <v>35</v>
      </c>
      <c r="F41">
        <f t="shared" si="196"/>
        <v>34</v>
      </c>
      <c r="H41">
        <f>H29+H39</f>
        <v>46</v>
      </c>
      <c r="I41">
        <f t="shared" ref="I41:K41" si="197">I29+I39</f>
        <v>38</v>
      </c>
      <c r="J41">
        <f t="shared" si="197"/>
        <v>35</v>
      </c>
      <c r="K41">
        <f t="shared" si="197"/>
        <v>34</v>
      </c>
      <c r="M41" s="18">
        <f t="shared" ref="M41:O41" si="198">M29+M39</f>
        <v>34</v>
      </c>
      <c r="N41" s="18"/>
      <c r="O41" s="18">
        <f t="shared" si="198"/>
        <v>34</v>
      </c>
      <c r="R41">
        <f>R29+R39</f>
        <v>36</v>
      </c>
      <c r="S41">
        <f t="shared" ref="S41:U41" si="199">S29+S39</f>
        <v>34</v>
      </c>
      <c r="T41">
        <f t="shared" si="199"/>
        <v>32</v>
      </c>
      <c r="U41">
        <f t="shared" si="199"/>
        <v>31</v>
      </c>
      <c r="W41">
        <f>W29+W39</f>
        <v>36</v>
      </c>
      <c r="X41">
        <f t="shared" ref="X41:Z41" si="200">X29+X39</f>
        <v>36</v>
      </c>
      <c r="Y41">
        <f t="shared" si="200"/>
        <v>35</v>
      </c>
      <c r="Z41">
        <f t="shared" si="200"/>
        <v>34</v>
      </c>
      <c r="AB41" s="18">
        <f t="shared" ref="AB41" si="201">AB29+AB39</f>
        <v>31</v>
      </c>
      <c r="AC41" s="18"/>
      <c r="AD41" s="18">
        <f t="shared" ref="AD41" si="202">AD29+AD39</f>
        <v>31</v>
      </c>
      <c r="AG41">
        <f>AG29+AG39</f>
        <v>39.5</v>
      </c>
      <c r="AH41">
        <f t="shared" ref="AH41:AJ41" si="203">AH29+AH39</f>
        <v>38.5</v>
      </c>
      <c r="AI41">
        <f t="shared" si="203"/>
        <v>37</v>
      </c>
      <c r="AJ41">
        <f t="shared" si="203"/>
        <v>35.5</v>
      </c>
      <c r="AL41" s="55">
        <f>AL29+AL39</f>
        <v>38</v>
      </c>
      <c r="AM41" s="55">
        <f t="shared" ref="AM41:AO41" si="204">AM29+AM39</f>
        <v>37</v>
      </c>
      <c r="AN41" s="55">
        <f t="shared" si="204"/>
        <v>36</v>
      </c>
      <c r="AO41" s="55">
        <f t="shared" si="204"/>
        <v>35</v>
      </c>
      <c r="AZ41" s="55">
        <f>AZ29+AZ39</f>
        <v>38</v>
      </c>
      <c r="BA41" s="55">
        <f t="shared" ref="BA41:BC41" si="205">BA29+BA39</f>
        <v>37</v>
      </c>
      <c r="BB41" s="55">
        <f t="shared" si="205"/>
        <v>36</v>
      </c>
      <c r="BC41" s="55">
        <f t="shared" si="205"/>
        <v>35</v>
      </c>
    </row>
    <row r="42" spans="1:57" x14ac:dyDescent="0.25">
      <c r="A42" t="s">
        <v>47</v>
      </c>
      <c r="B42" t="s">
        <v>48</v>
      </c>
      <c r="C42" s="1">
        <v>45</v>
      </c>
      <c r="D42" s="1">
        <v>45</v>
      </c>
      <c r="E42" s="1">
        <v>45</v>
      </c>
      <c r="F42" s="1">
        <v>45</v>
      </c>
      <c r="H42" s="26">
        <v>45</v>
      </c>
      <c r="I42" s="26">
        <v>55</v>
      </c>
      <c r="J42" s="26">
        <v>65</v>
      </c>
      <c r="K42" s="26">
        <v>75</v>
      </c>
      <c r="M42" s="41">
        <v>75</v>
      </c>
      <c r="N42" s="18"/>
      <c r="O42" s="41">
        <v>75</v>
      </c>
      <c r="R42" s="1">
        <v>80</v>
      </c>
      <c r="S42" s="1">
        <v>100</v>
      </c>
      <c r="T42" s="1">
        <v>120</v>
      </c>
      <c r="U42" s="1">
        <v>140</v>
      </c>
      <c r="W42" s="1">
        <v>80</v>
      </c>
      <c r="X42" s="1">
        <v>100</v>
      </c>
      <c r="Y42" s="1">
        <v>120</v>
      </c>
      <c r="Z42" s="1">
        <v>140</v>
      </c>
      <c r="AB42" s="41">
        <v>140</v>
      </c>
      <c r="AC42" s="18"/>
      <c r="AD42" s="41">
        <v>140</v>
      </c>
      <c r="AG42" s="1">
        <v>100</v>
      </c>
      <c r="AH42" s="1">
        <v>100</v>
      </c>
      <c r="AI42" s="1">
        <v>120</v>
      </c>
      <c r="AJ42" s="1">
        <v>120</v>
      </c>
      <c r="AL42" s="1">
        <v>100</v>
      </c>
      <c r="AM42" s="1">
        <v>100</v>
      </c>
      <c r="AN42" s="1">
        <v>120</v>
      </c>
      <c r="AO42" s="1">
        <v>120</v>
      </c>
      <c r="AZ42" s="1">
        <v>100</v>
      </c>
      <c r="BA42" s="1">
        <v>100</v>
      </c>
      <c r="BB42" s="1">
        <v>120</v>
      </c>
      <c r="BC42" s="1">
        <v>120</v>
      </c>
    </row>
    <row r="43" spans="1:57" x14ac:dyDescent="0.25">
      <c r="A43" t="s">
        <v>64</v>
      </c>
      <c r="B43" t="s">
        <v>66</v>
      </c>
      <c r="C43" s="1">
        <v>1.7</v>
      </c>
      <c r="D43" s="1">
        <v>1.7</v>
      </c>
      <c r="E43" s="1">
        <v>1.7</v>
      </c>
      <c r="F43" s="1">
        <v>1.7</v>
      </c>
      <c r="H43" s="1">
        <v>1.7</v>
      </c>
      <c r="I43" s="1">
        <v>1.7</v>
      </c>
      <c r="J43" s="1">
        <v>1.7</v>
      </c>
      <c r="K43" s="1">
        <v>1.7</v>
      </c>
      <c r="M43" s="41">
        <v>1.7</v>
      </c>
      <c r="N43" s="18"/>
      <c r="O43" s="41">
        <v>1.7</v>
      </c>
      <c r="R43" s="1">
        <v>1.7</v>
      </c>
      <c r="S43" s="1">
        <v>1.7</v>
      </c>
      <c r="T43" s="1">
        <v>1.8</v>
      </c>
      <c r="U43" s="1">
        <v>1.9</v>
      </c>
      <c r="W43" s="1">
        <v>1.7</v>
      </c>
      <c r="X43" s="1">
        <v>1.7</v>
      </c>
      <c r="Y43" s="1">
        <v>1.8</v>
      </c>
      <c r="Z43" s="1">
        <v>1.9</v>
      </c>
      <c r="AB43" s="41">
        <v>1.9</v>
      </c>
      <c r="AC43" s="18"/>
      <c r="AD43" s="41">
        <v>1.9</v>
      </c>
      <c r="AG43" s="1">
        <v>1.7</v>
      </c>
      <c r="AH43" s="1">
        <v>1.7</v>
      </c>
      <c r="AI43" s="1">
        <v>1.8</v>
      </c>
      <c r="AJ43" s="1">
        <v>1.8</v>
      </c>
      <c r="AL43" s="1">
        <v>1.7</v>
      </c>
      <c r="AM43" s="1">
        <v>1.7</v>
      </c>
      <c r="AN43" s="1">
        <v>1.8</v>
      </c>
      <c r="AO43" s="1">
        <v>1.8</v>
      </c>
      <c r="AZ43" s="1">
        <v>1.7</v>
      </c>
      <c r="BA43" s="1">
        <v>1.7</v>
      </c>
      <c r="BB43" s="1">
        <v>1.8</v>
      </c>
      <c r="BC43" s="1">
        <v>1.8</v>
      </c>
    </row>
    <row r="44" spans="1:57" x14ac:dyDescent="0.25">
      <c r="A44" t="s">
        <v>69</v>
      </c>
      <c r="B44" t="s">
        <v>70</v>
      </c>
      <c r="C44" s="3">
        <f>Pc_c1+Pc_c2*C40+Pc_c3*C41+Pc_c4*C40^2+Pc_c5*C40*C41+Pc_c6*C41^2+Pc_c7*C40^3+Pc_c8*C41*C40^2+Pc_c9*C40*C41^2+Pc_c10*C41^3</f>
        <v>1.1522401960927251</v>
      </c>
      <c r="D44" s="3">
        <f>Pc_c1+Pc_c2*D40+Pc_c3*D41+Pc_c4*D40^2+Pc_c5*D40*D41+Pc_c6*D41^2+Pc_c7*D40^3+Pc_c8*D41*D40^2+Pc_c9*D40*D41^2+Pc_c10*D41^3</f>
        <v>1.6951484081366288</v>
      </c>
      <c r="E44" s="3">
        <f>Pc_c1+Pc_c2*E40+Pc_c3*E41+Pc_c4*E40^2+Pc_c5*E40*E41+Pc_c6*E41^2+Pc_c7*E40^3+Pc_c8*E41*E40^2+Pc_c9*E40*E41^2+Pc_c10*E41^3</f>
        <v>1.999818020212369</v>
      </c>
      <c r="F44" s="3">
        <f>Pc_c1+Pc_c2*F40+Pc_c3*F41+Pc_c4*F40^2+Pc_c5*F40*F41+Pc_c6*F41^2+Pc_c7*F40^3+Pc_c8*F41*F40^2+Pc_c9*F40*F41^2+Pc_c10*F41^3</f>
        <v>2.2024952368976987</v>
      </c>
      <c r="H44" s="3">
        <f>Pc_c1+Pc_c2*H40+Pc_c3*H41+Pc_c4*H40^2+Pc_c5*H40*H41+Pc_c6*H41^2+Pc_c7*H40^3+Pc_c8*H41*H40^2+Pc_c9*H40*H41^2+Pc_c10*H41^3</f>
        <v>1.1522401960927251</v>
      </c>
      <c r="I44" s="3">
        <f>Pc_c1+Pc_c2*I40+Pc_c3*I41+Pc_c4*I40^2+Pc_c5*I40*I41+Pc_c6*I41^2+Pc_c7*I40^3+Pc_c8*I41*I40^2+Pc_c9*I40*I41^2+Pc_c10*I41^3</f>
        <v>1.6951484081366288</v>
      </c>
      <c r="J44" s="3">
        <f>Pc_c1+Pc_c2*J40+Pc_c3*J41+Pc_c4*J40^2+Pc_c5*J40*J41+Pc_c6*J41^2+Pc_c7*J40^3+Pc_c8*J41*J40^2+Pc_c9*J40*J41^2+Pc_c10*J41^3</f>
        <v>1.999818020212369</v>
      </c>
      <c r="K44" s="3">
        <f>Pc_c1+Pc_c2*K40+Pc_c3*K41+Pc_c4*K40^2+Pc_c5*K40*K41+Pc_c6*K41^2+Pc_c7*K40^3+Pc_c8*K41*K40^2+Pc_c9*K40*K41^2+Pc_c10*K41^3</f>
        <v>2.2024952368976987</v>
      </c>
      <c r="M44" s="40">
        <f>Pc_c1+Pc_c2*M40+Pc_c3*M41+Pc_c4*M40^2+Pc_c5*M40*M41+Pc_c6*M41^2+Pc_c7*M40^3+Pc_c8*M41*M40^2+Pc_c9*M40*M41^2+Pc_c10*M41^3</f>
        <v>2.2024952368976987</v>
      </c>
      <c r="N44" s="18"/>
      <c r="O44" s="40">
        <f>Pc_c1+Pc_c2*O40+Pc_c3*O41+Pc_c4*O40^2+Pc_c5*O40*O41+Pc_c6*O41^2+Pc_c7*O40^3+Pc_c8*O41*O40^2+Pc_c9*O40*O41^2+Pc_c10*O41^3</f>
        <v>2.2024952368976987</v>
      </c>
      <c r="R44" s="3">
        <f>Pc_c1+Pc_c2*R40+Pc_c3*R41+Pc_c4*R40^2+Pc_c5*R40*R41+Pc_c6*R41^2+Pc_c7*R40^3+Pc_c8*R41*R40^2+Pc_c9*R40*R41^2+Pc_c10*R41^3</f>
        <v>0.66114855064327838</v>
      </c>
      <c r="S44" s="3">
        <f>Pc_c1+Pc_c2*S40+Pc_c3*S41+Pc_c4*S40^2+Pc_c5*S40*S41+Pc_c6*S41^2+Pc_c7*S40^3+Pc_c8*S41*S40^2+Pc_c9*S40*S41^2+Pc_c10*S41^3</f>
        <v>0.81813916938495035</v>
      </c>
      <c r="T44" s="3">
        <f>Pc_c1+Pc_c2*T40+Pc_c3*T41+Pc_c4*T40^2+Pc_c5*T40*T41+Pc_c6*T41^2+Pc_c7*T40^3+Pc_c8*T41*T40^2+Pc_c9*T40*T41^2+Pc_c10*T41^3</f>
        <v>0.8898483756545692</v>
      </c>
      <c r="U44" s="3">
        <f>Pc_c1+Pc_c2*U40+Pc_c3*U41+Pc_c4*U40^2+Pc_c5*U40*U41+Pc_c6*U41^2+Pc_c7*U40^3+Pc_c8*U41*U40^2+Pc_c9*U40*U41^2+Pc_c10*U41^3</f>
        <v>0.9013286609451252</v>
      </c>
      <c r="W44" s="3">
        <f>Pc_c1+Pc_c2*W40+Pc_c3*W41+Pc_c4*W40^2+Pc_c5*W40*W41+Pc_c6*W41^2+Pc_c7*W40^3+Pc_c8*W41*W40^2+Pc_c9*W40*W41^2+Pc_c10*W41^3</f>
        <v>0.66114855064327838</v>
      </c>
      <c r="X44" s="3">
        <f>Pc_c1+Pc_c2*X40+Pc_c3*X41+Pc_c4*X40^2+Pc_c5*X40*X41+Pc_c6*X41^2+Pc_c7*X40^3+Pc_c8*X41*X40^2+Pc_c9*X40*X41^2+Pc_c10*X41^3</f>
        <v>0.79560489917628663</v>
      </c>
      <c r="Y44" s="3">
        <f>Pc_c1+Pc_c2*Y40+Pc_c3*Y41+Pc_c4*Y40^2+Pc_c5*Y40*Y41+Pc_c6*Y41^2+Pc_c7*Y40^3+Pc_c8*Y41*Y40^2+Pc_c9*Y40*Y41^2+Pc_c10*Y41^3</f>
        <v>0.85529267073046045</v>
      </c>
      <c r="Z44" s="3">
        <f>Pc_c1+Pc_c2*Z40+Pc_c3*Z41+Pc_c4*Z40^2+Pc_c5*Z40*Z41+Pc_c6*Z41^2+Pc_c7*Z40^3+Pc_c8*Z41*Z40^2+Pc_c9*Z40*Z41^2+Pc_c10*Z41^3</f>
        <v>0.86683099696870491</v>
      </c>
      <c r="AB44" s="40">
        <f>Pc_c1+Pc_c2*AB40+Pc_c3*AB41+Pc_c4*AB40^2+Pc_c5*AB40*AB41+Pc_c6*AB41^2+Pc_c7*AB40^3+Pc_c8*AB41*AB40^2+Pc_c9*AB40*AB41^2+Pc_c10*AB41^3</f>
        <v>0.9013286609451252</v>
      </c>
      <c r="AC44" s="18"/>
      <c r="AD44" s="40">
        <f>Pc_c1+Pc_c2*AD40+Pc_c3*AD41+Pc_c4*AD40^2+Pc_c5*AD40*AD41+Pc_c6*AD41^2+Pc_c7*AD40^3+Pc_c8*AD41*AD40^2+Pc_c9*AD40*AD41^2+Pc_c10*AD41^3</f>
        <v>0.9013286609451252</v>
      </c>
      <c r="AG44" s="3">
        <f>Pc_c1+Pc_c2*AG40+Pc_c3*AG41+Pc_c4*AG40^2+Pc_c5*AG40*AG41+Pc_c6*AG41^2+Pc_c7*AG40^3+Pc_c8*AG41*AG40^2+Pc_c9*AG40*AG41^2+Pc_c10*AG41^3</f>
        <v>1.0093089670786628</v>
      </c>
      <c r="AH44" s="3">
        <f>Pc_c1+Pc_c2*AH40+Pc_c3*AH41+Pc_c4*AH40^2+Pc_c5*AH40*AH41+Pc_c6*AH41^2+Pc_c7*AH40^3+Pc_c8*AH41*AH40^2+Pc_c9*AH40*AH41^2+Pc_c10*AH41^3</f>
        <v>1.0502752421486137</v>
      </c>
      <c r="AI44" s="3">
        <f>Pc_c1+Pc_c2*AI40+Pc_c3*AI41+Pc_c4*AI40^2+Pc_c5*AI40*AI41+Pc_c6*AI41^2+Pc_c7*AI40^3+Pc_c8*AI41*AI40^2+Pc_c9*AI40*AI41^2+Pc_c10*AI41^3</f>
        <v>1.2192281933931477</v>
      </c>
      <c r="AJ44" s="3">
        <f>Pc_c1+Pc_c2*AJ40+Pc_c3*AJ41+Pc_c4*AJ40^2+Pc_c5*AJ40*AJ41+Pc_c6*AJ41^2+Pc_c7*AJ40^3+Pc_c8*AJ41*AJ40^2+Pc_c9*AJ40*AJ41^2+Pc_c10*AJ41^3</f>
        <v>1.3707594223103472</v>
      </c>
      <c r="AL44" s="3">
        <f>Pc_c1+Pc_c2*AL40+Pc_c3*AL41+Pc_c4*AL40^2+Pc_c5*AL40*AL41+Pc_c6*AL41^2+Pc_c7*AL40^3+Pc_c8*AL41*AL40^2+Pc_c9*AL40*AL41^2+Pc_c10*AL41^3</f>
        <v>0.92092360289378283</v>
      </c>
      <c r="AM44" s="3">
        <f>Pc_c1+Pc_c2*AM40+Pc_c3*AM41+Pc_c4*AM40^2+Pc_c5*AM40*AM41+Pc_c6*AM41^2+Pc_c7*AM40^3+Pc_c8*AM41*AM40^2+Pc_c9*AM40*AM41^2+Pc_c10*AM41^3</f>
        <v>0.98638389122561476</v>
      </c>
      <c r="AN44" s="3">
        <f>Pc_c1+Pc_c2*AN40+Pc_c3*AN41+Pc_c4*AN40^2+Pc_c5*AN40*AN41+Pc_c6*AN41^2+Pc_c7*AN40^3+Pc_c8*AN41*AN40^2+Pc_c9*AN40*AN41^2+Pc_c10*AN41^3</f>
        <v>1.0544325309509117</v>
      </c>
      <c r="AO44" s="3">
        <f>Pc_c1+Pc_c2*AO40+Pc_c3*AO41+Pc_c4*AO40^2+Pc_c5*AO40*AO41+Pc_c6*AO41^2+Pc_c7*AO40^3+Pc_c8*AO41*AO40^2+Pc_c9*AO40*AO41^2+Pc_c10*AO41^3</f>
        <v>1.1251915387404523</v>
      </c>
      <c r="AZ44" s="3">
        <f>Pc_c1+Pc_c2*AZ40+Pc_c3*AZ41+Pc_c4*AZ40^2+Pc_c5*AZ40*AZ41+Pc_c6*AZ41^2+Pc_c7*AZ40^3+Pc_c8*AZ41*AZ40^2+Pc_c9*AZ40*AZ41^2+Pc_c10*AZ41^3</f>
        <v>0.92092360289378283</v>
      </c>
      <c r="BA44" s="3">
        <f>Pc_c1+Pc_c2*BA40+Pc_c3*BA41+Pc_c4*BA40^2+Pc_c5*BA40*BA41+Pc_c6*BA41^2+Pc_c7*BA40^3+Pc_c8*BA41*BA40^2+Pc_c9*BA40*BA41^2+Pc_c10*BA41^3</f>
        <v>0.98638389122561476</v>
      </c>
      <c r="BB44" s="3">
        <f>Pc_c1+Pc_c2*BB40+Pc_c3*BB41+Pc_c4*BB40^2+Pc_c5*BB40*BB41+Pc_c6*BB41^2+Pc_c7*BB40^3+Pc_c8*BB41*BB40^2+Pc_c9*BB40*BB41^2+Pc_c10*BB41^3</f>
        <v>1.0544325309509117</v>
      </c>
      <c r="BC44" s="3">
        <f>Pc_c1+Pc_c2*BC40+Pc_c3*BC41+Pc_c4*BC40^2+Pc_c5*BC40*BC41+Pc_c6*BC41^2+Pc_c7*BC40^3+Pc_c8*BC41*BC40^2+Pc_c9*BC40*BC41^2+Pc_c10*BC41^3</f>
        <v>1.1251915387404523</v>
      </c>
    </row>
    <row r="45" spans="1:57" x14ac:dyDescent="0.25">
      <c r="A45" t="s">
        <v>67</v>
      </c>
      <c r="B45" t="s">
        <v>68</v>
      </c>
      <c r="C45" s="4">
        <f>C42*C44</f>
        <v>51.850808824172631</v>
      </c>
      <c r="D45" s="4">
        <f t="shared" ref="D45:F45" si="206">D42*D44</f>
        <v>76.281678366148299</v>
      </c>
      <c r="E45" s="4">
        <f t="shared" si="206"/>
        <v>89.991810909556605</v>
      </c>
      <c r="F45" s="4">
        <f t="shared" si="206"/>
        <v>99.112285660396438</v>
      </c>
      <c r="H45" s="4">
        <f>H42*H44</f>
        <v>51.850808824172631</v>
      </c>
      <c r="I45" s="4">
        <f t="shared" ref="I45:J45" si="207">I42*I44</f>
        <v>93.233162447514587</v>
      </c>
      <c r="J45" s="4">
        <f t="shared" si="207"/>
        <v>129.98817131380397</v>
      </c>
      <c r="K45" s="4">
        <f t="shared" ref="K45:M45" si="208">K42*K44</f>
        <v>165.1871427673274</v>
      </c>
      <c r="M45" s="39">
        <f t="shared" si="208"/>
        <v>165.1871427673274</v>
      </c>
      <c r="N45" s="18"/>
      <c r="O45" s="39">
        <f t="shared" ref="O45" si="209">O42*O44</f>
        <v>165.1871427673274</v>
      </c>
      <c r="R45" s="4">
        <f>R42*R44</f>
        <v>52.89188405146227</v>
      </c>
      <c r="S45" s="4">
        <f t="shared" ref="S45" si="210">S42*S44</f>
        <v>81.813916938495041</v>
      </c>
      <c r="T45" s="4">
        <f t="shared" ref="T45" si="211">T42*T44</f>
        <v>106.7818050785483</v>
      </c>
      <c r="U45" s="4">
        <f t="shared" ref="U45" si="212">U42*U44</f>
        <v>126.18601253231753</v>
      </c>
      <c r="W45" s="4">
        <f>W42*W44</f>
        <v>52.89188405146227</v>
      </c>
      <c r="X45" s="4">
        <f t="shared" ref="X45" si="213">X42*X44</f>
        <v>79.560489917628658</v>
      </c>
      <c r="Y45" s="4">
        <f t="shared" ref="Y45" si="214">Y42*Y44</f>
        <v>102.63512048765526</v>
      </c>
      <c r="Z45" s="4">
        <f t="shared" ref="Z45:AB45" si="215">Z42*Z44</f>
        <v>121.35633957561869</v>
      </c>
      <c r="AB45" s="39">
        <f t="shared" si="215"/>
        <v>126.18601253231753</v>
      </c>
      <c r="AC45" s="18"/>
      <c r="AD45" s="39">
        <f t="shared" ref="AD45" si="216">AD42*AD44</f>
        <v>126.18601253231753</v>
      </c>
      <c r="AG45" s="4">
        <f>AG42*AG44</f>
        <v>100.93089670786628</v>
      </c>
      <c r="AH45" s="4">
        <f t="shared" ref="AH45" si="217">AH42*AH44</f>
        <v>105.02752421486137</v>
      </c>
      <c r="AI45" s="4">
        <f t="shared" ref="AI45" si="218">AI42*AI44</f>
        <v>146.30738320717774</v>
      </c>
      <c r="AJ45" s="4">
        <f t="shared" ref="AJ45" si="219">AJ42*AJ44</f>
        <v>164.49113067724167</v>
      </c>
      <c r="AL45" s="4">
        <f>AL42*AL44</f>
        <v>92.092360289378277</v>
      </c>
      <c r="AM45" s="4">
        <f t="shared" ref="AM45:AO45" si="220">AM42*AM44</f>
        <v>98.638389122561478</v>
      </c>
      <c r="AN45" s="4">
        <f t="shared" si="220"/>
        <v>126.5319037141094</v>
      </c>
      <c r="AO45" s="4">
        <f t="shared" si="220"/>
        <v>135.02298464885428</v>
      </c>
      <c r="AZ45" s="4">
        <f>AZ42*AZ44</f>
        <v>92.092360289378277</v>
      </c>
      <c r="BA45" s="4">
        <f t="shared" ref="BA45:BC45" si="221">BA42*BA44</f>
        <v>98.638389122561478</v>
      </c>
      <c r="BB45" s="4">
        <f t="shared" si="221"/>
        <v>126.5319037141094</v>
      </c>
      <c r="BC45" s="4">
        <f t="shared" si="221"/>
        <v>135.02298464885428</v>
      </c>
    </row>
    <row r="46" spans="1:57" x14ac:dyDescent="0.25">
      <c r="A46" t="s">
        <v>71</v>
      </c>
      <c r="B46" t="s">
        <v>72</v>
      </c>
      <c r="C46" s="7">
        <f>C35/C45</f>
        <v>0.27114716855575188</v>
      </c>
      <c r="D46" s="7">
        <f t="shared" ref="D46:F46" si="222">D35/D45</f>
        <v>0.27326774132004533</v>
      </c>
      <c r="E46" s="7">
        <f t="shared" si="222"/>
        <v>0.27617183744155149</v>
      </c>
      <c r="F46" s="7">
        <f t="shared" si="222"/>
        <v>0.31805484705655385</v>
      </c>
      <c r="H46" s="7">
        <f>H35/H45</f>
        <v>0.27437180484960366</v>
      </c>
      <c r="I46" s="7">
        <f t="shared" ref="I46:J46" si="223">I35/I45</f>
        <v>0.22538677654583505</v>
      </c>
      <c r="J46" s="7">
        <f t="shared" si="223"/>
        <v>0.20309540270604973</v>
      </c>
      <c r="K46" s="7">
        <f t="shared" ref="K46:M46" si="224">K35/K45</f>
        <v>0.2051398248723991</v>
      </c>
      <c r="M46" s="28">
        <f t="shared" si="224"/>
        <v>0.19188625897954742</v>
      </c>
      <c r="N46" s="18"/>
      <c r="O46" s="28">
        <f t="shared" ref="O46" si="225">O35/O45</f>
        <v>0.16662291022906772</v>
      </c>
      <c r="R46" s="7">
        <f>R35/R45</f>
        <v>0.45822247466962662</v>
      </c>
      <c r="S46" s="7">
        <f t="shared" ref="S46" si="226">S35/S45</f>
        <v>0.3315511714271307</v>
      </c>
      <c r="T46" s="7">
        <f t="shared" ref="T46" si="227">T35/T45</f>
        <v>0.36763541034350916</v>
      </c>
      <c r="U46" s="7">
        <f t="shared" ref="U46" si="228">U35/U45</f>
        <v>0.356925455493453</v>
      </c>
      <c r="W46" s="7">
        <f>W35/W45</f>
        <v>0.46566690602353517</v>
      </c>
      <c r="X46" s="7">
        <f t="shared" ref="X46" si="229">X35/X45</f>
        <v>0.34597574786804969</v>
      </c>
      <c r="Y46" s="7">
        <f t="shared" ref="Y46" si="230">Y35/Y45</f>
        <v>0.42836214144931034</v>
      </c>
      <c r="Z46" s="7">
        <f t="shared" ref="Z46:AB46" si="231">Z35/Z45</f>
        <v>0.45572402886738966</v>
      </c>
      <c r="AB46" s="28">
        <f t="shared" si="231"/>
        <v>0.36020632626265936</v>
      </c>
      <c r="AC46" s="18"/>
      <c r="AD46" s="28">
        <f t="shared" ref="AD46" si="232">AD35/AD45</f>
        <v>0.39228431098758054</v>
      </c>
      <c r="AG46" s="7">
        <f>AG35/AG45</f>
        <v>0.46502113357665248</v>
      </c>
      <c r="AH46" s="7">
        <f t="shared" ref="AH46" si="233">AH35/AH45</f>
        <v>0.44847090144845642</v>
      </c>
      <c r="AI46" s="7">
        <f t="shared" ref="AI46" si="234">AI35/AI45</f>
        <v>0.41806966422749725</v>
      </c>
      <c r="AJ46" s="7">
        <f t="shared" ref="AJ46" si="235">AJ35/AJ45</f>
        <v>0.44700210917277255</v>
      </c>
      <c r="AL46" s="7">
        <f>AL35/AL45</f>
        <v>0.43251998022284177</v>
      </c>
      <c r="AM46" s="7">
        <f t="shared" ref="AM46:AO46" si="236">AM35/AM45</f>
        <v>0.44568642229173255</v>
      </c>
      <c r="AN46" s="7">
        <f t="shared" si="236"/>
        <v>0.42499683258211896</v>
      </c>
      <c r="AO46" s="7">
        <f t="shared" si="236"/>
        <v>0.47933209671739346</v>
      </c>
      <c r="AZ46" s="7">
        <f>AZ35/AZ45</f>
        <v>0.24352161263272573</v>
      </c>
      <c r="BA46" s="7">
        <f t="shared" ref="BA46:BC46" si="237">BA35/BA45</f>
        <v>0.24466116320024098</v>
      </c>
      <c r="BB46" s="7">
        <f t="shared" si="237"/>
        <v>0.22758492291469462</v>
      </c>
      <c r="BC46" s="7">
        <f t="shared" si="237"/>
        <v>0.25682608981339189</v>
      </c>
    </row>
    <row r="47" spans="1:57" x14ac:dyDescent="0.25">
      <c r="A47" t="s">
        <v>73</v>
      </c>
      <c r="B47" t="s">
        <v>74</v>
      </c>
      <c r="C47" s="7">
        <f>0.125*(1-C35/C45)</f>
        <v>9.1106603930531022E-2</v>
      </c>
      <c r="D47" s="7">
        <f t="shared" ref="D47:F47" si="238">0.125*(1-D35/D45)</f>
        <v>9.084153233499434E-2</v>
      </c>
      <c r="E47" s="7">
        <f t="shared" si="238"/>
        <v>9.0478520319806063E-2</v>
      </c>
      <c r="F47" s="7">
        <f t="shared" si="238"/>
        <v>8.5243144117930769E-2</v>
      </c>
      <c r="H47" s="7">
        <f>0.125*(1-H35/H45)</f>
        <v>9.0703524393799542E-2</v>
      </c>
      <c r="I47" s="7">
        <f>0.125*(1-I35/I45)</f>
        <v>9.6826652931770618E-2</v>
      </c>
      <c r="J47" s="7">
        <f t="shared" ref="J47" si="239">0.125*(1-J35/J45)</f>
        <v>9.9613074661743781E-2</v>
      </c>
      <c r="K47" s="7">
        <f>0.125*(1-K35/K45)</f>
        <v>9.935752189095011E-2</v>
      </c>
      <c r="M47" s="28">
        <f>0.125*(1-M35/M45)</f>
        <v>0.10101421762755658</v>
      </c>
      <c r="N47" s="18"/>
      <c r="O47" s="28">
        <f>0.125*(1-O35/O45)</f>
        <v>0.10417213622136653</v>
      </c>
      <c r="R47" s="7">
        <f>0.125*(1-R35/R45)</f>
        <v>6.7722190666296672E-2</v>
      </c>
      <c r="S47" s="7">
        <f t="shared" ref="S47:U47" si="240">0.125*(1-S35/S45)</f>
        <v>8.355610357160867E-2</v>
      </c>
      <c r="T47" s="7">
        <f t="shared" si="240"/>
        <v>7.9045573707061362E-2</v>
      </c>
      <c r="U47" s="7">
        <f t="shared" si="240"/>
        <v>8.0384318063318375E-2</v>
      </c>
      <c r="W47" s="7">
        <f>0.125*(1-W35/W45)</f>
        <v>6.6791636747058097E-2</v>
      </c>
      <c r="X47" s="7">
        <f t="shared" ref="X47:Z47" si="241">0.125*(1-X35/X45)</f>
        <v>8.1753031516493796E-2</v>
      </c>
      <c r="Y47" s="7">
        <f t="shared" si="241"/>
        <v>7.14547323188362E-2</v>
      </c>
      <c r="Z47" s="7">
        <f t="shared" si="241"/>
        <v>6.8034496391576299E-2</v>
      </c>
      <c r="AB47" s="28">
        <f t="shared" ref="AB47" si="242">0.125*(1-AB35/AB45)</f>
        <v>7.997420921716758E-2</v>
      </c>
      <c r="AC47" s="18"/>
      <c r="AD47" s="28">
        <f t="shared" ref="AD47" si="243">0.125*(1-AD35/AD45)</f>
        <v>7.5964461126552432E-2</v>
      </c>
      <c r="AG47" s="7">
        <f>0.125*(1-AG35/AG45)</f>
        <v>6.6872358302918433E-2</v>
      </c>
      <c r="AH47" s="7">
        <f t="shared" ref="AH47:AJ47" si="244">0.125*(1-AH35/AH45)</f>
        <v>6.8941137318942941E-2</v>
      </c>
      <c r="AI47" s="7">
        <f t="shared" si="244"/>
        <v>7.2741291971562844E-2</v>
      </c>
      <c r="AJ47" s="7">
        <f t="shared" si="244"/>
        <v>6.9124736353403438E-2</v>
      </c>
      <c r="AL47" s="7">
        <f>0.125*(1-AL35/AL45)</f>
        <v>7.0935002472144779E-2</v>
      </c>
      <c r="AM47" s="7">
        <f t="shared" ref="AM47:AO47" si="245">0.125*(1-AM35/AM45)</f>
        <v>6.9289197213533438E-2</v>
      </c>
      <c r="AN47" s="7">
        <f t="shared" si="245"/>
        <v>7.1875395927235131E-2</v>
      </c>
      <c r="AO47" s="7">
        <f t="shared" si="245"/>
        <v>6.508348791032581E-2</v>
      </c>
      <c r="AZ47" s="7">
        <f>0.125*(1-AZ35/AZ45)</f>
        <v>9.455979842090928E-2</v>
      </c>
      <c r="BA47" s="7">
        <f t="shared" ref="BA47:BC47" si="246">0.125*(1-BA35/BA45)</f>
        <v>9.4417354599969874E-2</v>
      </c>
      <c r="BB47" s="7">
        <f t="shared" si="246"/>
        <v>9.6551884635663165E-2</v>
      </c>
      <c r="BC47" s="7">
        <f t="shared" si="246"/>
        <v>9.2896738773326021E-2</v>
      </c>
    </row>
    <row r="48" spans="1:57" x14ac:dyDescent="0.25">
      <c r="A48" t="s">
        <v>76</v>
      </c>
      <c r="B48" t="s">
        <v>77</v>
      </c>
      <c r="C48" s="5">
        <f>COP_c1+COP_c2*C40+COP_c3*C41+COP_c4*C40^2+COP_c5*C40*C41+COP_c6*C41^2+COP_c7*C40^3+COP_c8*C41*C40^2+COP_c9*C40*C41^2+COP_c10*C41^3</f>
        <v>1.0960162105263158</v>
      </c>
      <c r="D48" s="5">
        <f>COP_c1+COP_c2*D40+COP_c3*D41+COP_c4*D40^2+COP_c5*D40*D41+COP_c6*D41^2+COP_c7*D40^3+COP_c8*D41*D40^2+COP_c9*D40*D41^2+COP_c10*D41^3</f>
        <v>1.4908779242212549</v>
      </c>
      <c r="E48" s="5">
        <f>COP_c1+COP_c2*E40+COP_c3*E41+COP_c4*E40^2+COP_c5*E40*E41+COP_c6*E41^2+COP_c7*E40^3+COP_c8*E41*E40^2+COP_c9*E40*E41^2+COP_c10*E41^3</f>
        <v>1.7301449362079477</v>
      </c>
      <c r="F48" s="5">
        <f>COP_c1+COP_c2*F40+COP_c3*F41+COP_c4*F40^2+COP_c5*F40*F41+COP_c6*F41^2+COP_c7*F40^3+COP_c8*F41*F40^2+COP_c9*F40*F41^2+COP_c10*F41^3</f>
        <v>1.8738531635831179</v>
      </c>
      <c r="H48" s="5">
        <f>COP_c1+COP_c2*H40+COP_c3*H41+COP_c4*H40^2+COP_c5*H40*H41+COP_c6*H41^2+COP_c7*H40^3+COP_c8*H41*H40^2+COP_c9*H40*H41^2+COP_c10*H41^3</f>
        <v>1.0960162105263158</v>
      </c>
      <c r="I48" s="5">
        <f>COP_c1+COP_c2*I40+COP_c3*I41+COP_c4*I40^2+COP_c5*I40*I41+COP_c6*I41^2+COP_c7*I40^3+COP_c8*I41*I40^2+COP_c9*I40*I41^2+COP_c10*I41^3</f>
        <v>1.4908779242212549</v>
      </c>
      <c r="J48" s="5">
        <f>COP_c1+COP_c2*J40+COP_c3*J41+COP_c4*J40^2+COP_c5*J40*J41+COP_c6*J41^2+COP_c7*J40^3+COP_c8*J41*J40^2+COP_c9*J40*J41^2+COP_c10*J41^3</f>
        <v>1.7301449362079477</v>
      </c>
      <c r="K48" s="5">
        <f>COP_c1+COP_c2*K40+COP_c3*K41+COP_c4*K40^2+COP_c5*K40*K41+COP_c6*K41^2+COP_c7*K40^3+COP_c8*K41*K40^2+COP_c9*K40*K41^2+COP_c10*K41^3</f>
        <v>1.8738531635831179</v>
      </c>
      <c r="M48" s="27">
        <f>COP_c1+COP_c2*M40+COP_c3*M41+COP_c4*M40^2+COP_c5*M40*M41+COP_c6*M41^2+COP_c7*M40^3+COP_c8*M41*M40^2+COP_c9*M40*M41^2+COP_c10*M41^3</f>
        <v>1.8738531635831179</v>
      </c>
      <c r="N48" s="18"/>
      <c r="O48" s="27">
        <f>COP_c1+COP_c2*O40+COP_c3*O41+COP_c4*O40^2+COP_c5*O40*O41+COP_c6*O41^2+COP_c7*O40^3+COP_c8*O41*O40^2+COP_c9*O40*O41^2+COP_c10*O41^3</f>
        <v>1.8738531635831179</v>
      </c>
      <c r="R48" s="5">
        <f>COP_c1+COP_c2*R40+COP_c3*R41+COP_c4*R40^2+COP_c5*R40*R41+COP_c6*R41^2+COP_c7*R40^3+COP_c8*R41*R40^2+COP_c9*R40*R41^2+COP_c10*R41^3</f>
        <v>0.99211323045511324</v>
      </c>
      <c r="S48" s="5">
        <f>COP_c1+COP_c2*S40+COP_c3*S41+COP_c4*S40^2+COP_c5*S40*S41+COP_c6*S41^2+COP_c7*S40^3+COP_c8*S41*S40^2+COP_c9*S40*S41^2+COP_c10*S41^3</f>
        <v>1.1206085451371917</v>
      </c>
      <c r="T48" s="5">
        <f>COP_c1+COP_c2*T40+COP_c3*T41+COP_c4*T40^2+COP_c5*T40*T41+COP_c6*T41^2+COP_c7*T40^3+COP_c8*T41*T40^2+COP_c9*T40*T41^2+COP_c10*T41^3</f>
        <v>1.1999877100526444</v>
      </c>
      <c r="U48" s="5">
        <f>COP_c1+COP_c2*U40+COP_c3*U41+COP_c4*U40^2+COP_c5*U40*U41+COP_c6*U41^2+COP_c7*U40^3+COP_c8*U41*U40^2+COP_c9*U40*U41^2+COP_c10*U41^3</f>
        <v>1.22660640887993</v>
      </c>
      <c r="W48" s="5">
        <f>COP_c1+COP_c2*W40+COP_c3*W41+COP_c4*W40^2+COP_c5*W40*W41+COP_c6*W41^2+COP_c7*W40^3+COP_c8*W41*W40^2+COP_c9*W40*W41^2+COP_c10*W41^3</f>
        <v>0.99211323045511324</v>
      </c>
      <c r="X48" s="5">
        <f>COP_c1+COP_c2*X40+COP_c3*X41+COP_c4*X40^2+COP_c5*X40*X41+COP_c6*X41^2+COP_c7*X40^3+COP_c8*X41*X40^2+COP_c9*X40*X41^2+COP_c10*X41^3</f>
        <v>1.0741747925882341</v>
      </c>
      <c r="Y48" s="5">
        <f>COP_c1+COP_c2*Y40+COP_c3*Y41+COP_c4*Y40^2+COP_c5*Y40*Y41+COP_c6*Y41^2+COP_c7*Y40^3+COP_c8*Y41*Y40^2+COP_c9*Y40*Y41^2+COP_c10*Y41^3</f>
        <v>1.1253239967989341</v>
      </c>
      <c r="Z48" s="5">
        <f>COP_c1+COP_c2*Z40+COP_c3*Z41+COP_c4*Z40^2+COP_c5*Z40*Z41+COP_c6*Z41^2+COP_c7*Z40^3+COP_c8*Z41*Z40^2+COP_c9*Z40*Z41^2+COP_c10*Z41^3</f>
        <v>1.1494167760594884</v>
      </c>
      <c r="AB48" s="27">
        <f>COP_c1+COP_c2*AB40+COP_c3*AB41+COP_c4*AB40^2+COP_c5*AB40*AB41+COP_c6*AB41^2+COP_c7*AB40^3+COP_c8*AB41*AB40^2+COP_c9*AB40*AB41^2+COP_c10*AB41^3</f>
        <v>1.22660640887993</v>
      </c>
      <c r="AC48" s="18"/>
      <c r="AD48" s="27">
        <f>COP_c1+COP_c2*AD40+COP_c3*AD41+COP_c4*AD40^2+COP_c5*AD40*AD41+COP_c6*AD41^2+COP_c7*AD40^3+COP_c8*AD41*AD40^2+COP_c9*AD40*AD41^2+COP_c10*AD41^3</f>
        <v>1.22660640887993</v>
      </c>
      <c r="AG48" s="5">
        <f>COP_c1+COP_c2*AG40+COP_c3*AG41+COP_c4*AG40^2+COP_c5*AG40*AG41+COP_c6*AG41^2+COP_c7*AG40^3+COP_c8*AG41*AG40^2+COP_c9*AG40*AG41^2+COP_c10*AG41^3</f>
        <v>1.1324540932332072</v>
      </c>
      <c r="AH48" s="5">
        <f>COP_c1+COP_c2*AH40+COP_c3*AH41+COP_c4*AH40^2+COP_c5*AH40*AH41+COP_c6*AH41^2+COP_c7*AH40^3+COP_c8*AH41*AH40^2+COP_c9*AH40*AH41^2+COP_c10*AH41^3</f>
        <v>1.1698431823158417</v>
      </c>
      <c r="AI48" s="5">
        <f>COP_c1+COP_c2*AI40+COP_c3*AI41+COP_c4*AI40^2+COP_c5*AI40*AI41+COP_c6*AI41^2+COP_c7*AI40^3+COP_c8*AI41*AI40^2+COP_c9*AI40*AI41^2+COP_c10*AI41^3</f>
        <v>1.2822752562193673</v>
      </c>
      <c r="AJ48" s="5">
        <f>COP_c1+COP_c2*AJ40+COP_c3*AJ41+COP_c4*AJ40^2+COP_c5*AJ40*AJ41+COP_c6*AJ41^2+COP_c7*AJ40^3+COP_c8*AJ41*AJ40^2+COP_c9*AJ40*AJ41^2+COP_c10*AJ41^3</f>
        <v>1.3913025233418257</v>
      </c>
      <c r="AL48" s="5">
        <f>COP_c1+COP_c2*AL40+COP_c3*AL41+COP_c4*AL40^2+COP_c5*AL40*AL41+COP_c6*AL41^2+COP_c7*AL40^3+COP_c8*AL41*AL40^2+COP_c9*AL40*AL41^2+COP_c10*AL41^3</f>
        <v>1.1115675423687024</v>
      </c>
      <c r="AM48" s="5">
        <f>COP_c1+COP_c2*AM40+COP_c3*AM41+COP_c4*AM40^2+COP_c5*AM40*AM41+COP_c6*AM41^2+COP_c7*AM40^3+COP_c8*AM41*AM40^2+COP_c9*AM40*AM41^2+COP_c10*AM41^3</f>
        <v>1.1630605118158255</v>
      </c>
      <c r="AN48" s="5">
        <f>COP_c1+COP_c2*AN40+COP_c3*AN41+COP_c4*AN40^2+COP_c5*AN40*AN41+COP_c6*AN41^2+COP_c7*AN40^3+COP_c8*AN41*AN40^2+COP_c9*AN40*AN41^2+COP_c10*AN41^3</f>
        <v>1.2170640628101033</v>
      </c>
      <c r="AO48" s="5">
        <f>COP_c1+COP_c2*AO40+COP_c3*AO41+COP_c4*AO40^2+COP_c5*AO40*AO41+COP_c6*AO41^2+COP_c7*AO40^3+COP_c8*AO41*AO40^2+COP_c9*AO40*AO41^2+COP_c10*AO41^3</f>
        <v>1.274112508389821</v>
      </c>
      <c r="AZ48" s="5">
        <f>COP_c1+COP_c2*AZ40+COP_c3*AZ41+COP_c4*AZ40^2+COP_c5*AZ40*AZ41+COP_c6*AZ41^2+COP_c7*AZ40^3+COP_c8*AZ41*AZ40^2+COP_c9*AZ40*AZ41^2+COP_c10*AZ41^3</f>
        <v>1.1115675423687024</v>
      </c>
      <c r="BA48" s="5">
        <f>COP_c1+COP_c2*BA40+COP_c3*BA41+COP_c4*BA40^2+COP_c5*BA40*BA41+COP_c6*BA41^2+COP_c7*BA40^3+COP_c8*BA41*BA40^2+COP_c9*BA40*BA41^2+COP_c10*BA41^3</f>
        <v>1.1630605118158255</v>
      </c>
      <c r="BB48" s="5">
        <f>COP_c1+COP_c2*BB40+COP_c3*BB41+COP_c4*BB40^2+COP_c5*BB40*BB41+COP_c6*BB41^2+COP_c7*BB40^3+COP_c8*BB41*BB40^2+COP_c9*BB40*BB41^2+COP_c10*BB41^3</f>
        <v>1.2170640628101033</v>
      </c>
      <c r="BC48" s="5">
        <f>COP_c1+COP_c2*BC40+COP_c3*BC41+COP_c4*BC40^2+COP_c5*BC40*BC41+COP_c6*BC41^2+COP_c7*BC40^3+COP_c8*BC41*BC40^2+COP_c9*BC40*BC41^2+COP_c10*BC41^3</f>
        <v>1.274112508389821</v>
      </c>
    </row>
    <row r="49" spans="1:57" x14ac:dyDescent="0.25">
      <c r="A49" t="s">
        <v>60</v>
      </c>
      <c r="B49" t="s">
        <v>75</v>
      </c>
      <c r="C49" s="5">
        <f>C48*C43</f>
        <v>1.8632275578947368</v>
      </c>
      <c r="D49" s="5">
        <f t="shared" ref="D49:F49" si="247">D48*D43</f>
        <v>2.5344924711761334</v>
      </c>
      <c r="E49" s="5">
        <f t="shared" si="247"/>
        <v>2.941246391553511</v>
      </c>
      <c r="F49" s="5">
        <f t="shared" si="247"/>
        <v>3.1855503780913006</v>
      </c>
      <c r="H49" s="5">
        <f>H48*H43</f>
        <v>1.8632275578947368</v>
      </c>
      <c r="I49" s="5">
        <f t="shared" ref="I49:J49" si="248">I48*I43</f>
        <v>2.5344924711761334</v>
      </c>
      <c r="J49" s="5">
        <f t="shared" si="248"/>
        <v>2.941246391553511</v>
      </c>
      <c r="K49" s="5">
        <f t="shared" ref="K49:M49" si="249">K48*K43</f>
        <v>3.1855503780913006</v>
      </c>
      <c r="M49" s="27">
        <f t="shared" si="249"/>
        <v>3.1855503780913006</v>
      </c>
      <c r="N49" s="18"/>
      <c r="O49" s="27">
        <f t="shared" ref="O49" si="250">O48*O43</f>
        <v>3.1855503780913006</v>
      </c>
      <c r="R49" s="5">
        <f>R48*R43</f>
        <v>1.6865924917736925</v>
      </c>
      <c r="S49" s="5">
        <f t="shared" ref="S49" si="251">S48*S43</f>
        <v>1.9050345267332258</v>
      </c>
      <c r="T49" s="5">
        <f t="shared" ref="T49" si="252">T48*T43</f>
        <v>2.1599778780947601</v>
      </c>
      <c r="U49" s="5">
        <f t="shared" ref="U49" si="253">U48*U43</f>
        <v>2.3305521768718669</v>
      </c>
      <c r="W49" s="5">
        <f>W48*W43</f>
        <v>1.6865924917736925</v>
      </c>
      <c r="X49" s="5">
        <f t="shared" ref="X49" si="254">X48*X43</f>
        <v>1.8260971473999978</v>
      </c>
      <c r="Y49" s="5">
        <f t="shared" ref="Y49" si="255">Y48*Y43</f>
        <v>2.0255831942380813</v>
      </c>
      <c r="Z49" s="5">
        <f t="shared" ref="Z49:AB49" si="256">Z48*Z43</f>
        <v>2.1838918745130278</v>
      </c>
      <c r="AB49" s="27">
        <f t="shared" si="256"/>
        <v>2.3305521768718669</v>
      </c>
      <c r="AC49" s="18"/>
      <c r="AD49" s="27">
        <f t="shared" ref="AD49" si="257">AD48*AD43</f>
        <v>2.3305521768718669</v>
      </c>
      <c r="AG49" s="5">
        <f>AG48*AG43</f>
        <v>1.9251719584964522</v>
      </c>
      <c r="AH49" s="5">
        <f t="shared" ref="AH49" si="258">AH48*AH43</f>
        <v>1.9887334099369309</v>
      </c>
      <c r="AI49" s="5">
        <f t="shared" ref="AI49" si="259">AI48*AI43</f>
        <v>2.3080954611948612</v>
      </c>
      <c r="AJ49" s="5">
        <f t="shared" ref="AJ49" si="260">AJ48*AJ43</f>
        <v>2.5043445420152861</v>
      </c>
      <c r="AL49" s="5">
        <f>AL48*AL43</f>
        <v>1.889664822026794</v>
      </c>
      <c r="AM49" s="5">
        <f t="shared" ref="AM49:AO49" si="261">AM48*AM43</f>
        <v>1.9772028700869033</v>
      </c>
      <c r="AN49" s="5">
        <f t="shared" si="261"/>
        <v>2.190715313058186</v>
      </c>
      <c r="AO49" s="5">
        <f t="shared" si="261"/>
        <v>2.2934025151016781</v>
      </c>
      <c r="AZ49" s="5">
        <f>AZ48*AZ43</f>
        <v>1.889664822026794</v>
      </c>
      <c r="BA49" s="5">
        <f t="shared" ref="BA49:BC49" si="262">BA48*BA43</f>
        <v>1.9772028700869033</v>
      </c>
      <c r="BB49" s="5">
        <f t="shared" si="262"/>
        <v>2.190715313058186</v>
      </c>
      <c r="BC49" s="5">
        <f t="shared" si="262"/>
        <v>2.2934025151016781</v>
      </c>
    </row>
    <row r="50" spans="1:57" x14ac:dyDescent="0.25">
      <c r="A50" t="s">
        <v>78</v>
      </c>
      <c r="B50" t="s">
        <v>79</v>
      </c>
      <c r="C50" s="5">
        <f>C49*(1-C47)</f>
        <v>1.6934752227451704</v>
      </c>
      <c r="D50" s="5">
        <f t="shared" ref="D50:E50" si="263">D49*(1-D47)</f>
        <v>2.304255291402987</v>
      </c>
      <c r="E50" s="5">
        <f t="shared" si="263"/>
        <v>2.6751267701497805</v>
      </c>
      <c r="F50" s="5">
        <f>F49*(1-F47)</f>
        <v>2.9140040481167349</v>
      </c>
      <c r="H50" s="5">
        <f>H49*(1-H47)</f>
        <v>1.694226251646032</v>
      </c>
      <c r="I50" s="5">
        <f t="shared" ref="I50:J50" si="264">I49*(1-I47)</f>
        <v>2.2890860483113764</v>
      </c>
      <c r="J50" s="5">
        <f t="shared" si="264"/>
        <v>2.6482597951531068</v>
      </c>
      <c r="K50" s="5">
        <f>K49*(1-K47)</f>
        <v>2.8690419866653696</v>
      </c>
      <c r="M50" s="27">
        <f>M49*(1-M47)</f>
        <v>2.8637644989352409</v>
      </c>
      <c r="N50" s="18"/>
      <c r="O50" s="27">
        <f>O49*(1-O47)</f>
        <v>2.8537047901647479</v>
      </c>
      <c r="R50" s="5">
        <f>R49*(1-R47)</f>
        <v>1.57237275346945</v>
      </c>
      <c r="S50" s="5">
        <f t="shared" ref="S50" si="265">S49*(1-S47)</f>
        <v>1.7458572645100139</v>
      </c>
      <c r="T50" s="5">
        <f t="shared" ref="T50" si="266">T49*(1-T47)</f>
        <v>1.9892411875261988</v>
      </c>
      <c r="U50" s="5">
        <f>U49*(1-U47)</f>
        <v>2.1432123294230396</v>
      </c>
      <c r="W50" s="5">
        <f>W49*(1-W47)</f>
        <v>1.5739422187228285</v>
      </c>
      <c r="X50" s="5">
        <f t="shared" ref="X50" si="267">X49*(1-X47)</f>
        <v>1.6768081697564263</v>
      </c>
      <c r="Y50" s="5">
        <f t="shared" ref="Y50" si="268">Y49*(1-Y47)</f>
        <v>1.8808456893042662</v>
      </c>
      <c r="Z50" s="5">
        <f>Z49*(1-Z47)</f>
        <v>2.0353118906568786</v>
      </c>
      <c r="AB50" s="27">
        <f>AB49*(1-AB47)</f>
        <v>2.1441681094871909</v>
      </c>
      <c r="AC50" s="18"/>
      <c r="AD50" s="27">
        <f>AD49*(1-AD47)</f>
        <v>2.1535130366284818</v>
      </c>
      <c r="AG50" s="5">
        <f>AG49*(1-AG47)</f>
        <v>1.7964311694931461</v>
      </c>
      <c r="AH50" s="5">
        <f t="shared" ref="AH50" si="269">AH49*(1-AH47)</f>
        <v>1.8516278668316994</v>
      </c>
      <c r="AI50" s="5">
        <f t="shared" ref="AI50" si="270">AI49*(1-AI47)</f>
        <v>2.1402016153538468</v>
      </c>
      <c r="AJ50" s="5">
        <f>AJ49*(1-AJ47)</f>
        <v>2.3312323858103947</v>
      </c>
      <c r="AL50" s="5">
        <f>AL49*(1-AL47)</f>
        <v>1.7556214432047983</v>
      </c>
      <c r="AM50" s="5">
        <f t="shared" ref="AM50:AN50" si="271">AM49*(1-AM47)</f>
        <v>1.8402040704902876</v>
      </c>
      <c r="AN50" s="5">
        <f t="shared" si="271"/>
        <v>2.0332567825682721</v>
      </c>
      <c r="AO50" s="5">
        <f>AO49*(1-AO47)</f>
        <v>2.1441398802365472</v>
      </c>
      <c r="AZ50" s="5">
        <f>AZ49*(1-AZ47)</f>
        <v>1.710978497372857</v>
      </c>
      <c r="BA50" s="5">
        <f t="shared" ref="BA50:BB50" si="272">BA49*(1-BA47)</f>
        <v>1.7905206055858298</v>
      </c>
      <c r="BB50" s="5">
        <f t="shared" si="272"/>
        <v>1.9791976208822113</v>
      </c>
      <c r="BC50" s="5">
        <f>BC49*(1-BC47)</f>
        <v>2.0803529007541885</v>
      </c>
    </row>
    <row r="51" spans="1:57" x14ac:dyDescent="0.25">
      <c r="A51" t="s">
        <v>80</v>
      </c>
      <c r="B51" t="s">
        <v>82</v>
      </c>
      <c r="C51" s="1">
        <v>4</v>
      </c>
      <c r="D51" s="1">
        <v>4</v>
      </c>
      <c r="E51" s="1">
        <v>8</v>
      </c>
      <c r="F51" s="1">
        <v>11</v>
      </c>
      <c r="H51" s="1">
        <v>4</v>
      </c>
      <c r="I51" s="1">
        <v>4</v>
      </c>
      <c r="J51" s="41">
        <v>8</v>
      </c>
      <c r="K51" s="41">
        <v>11</v>
      </c>
      <c r="M51" s="41">
        <v>6</v>
      </c>
      <c r="N51" s="18"/>
      <c r="O51" s="41">
        <v>6</v>
      </c>
      <c r="R51" s="1">
        <v>4</v>
      </c>
      <c r="S51" s="1">
        <v>4</v>
      </c>
      <c r="T51" s="1">
        <v>8</v>
      </c>
      <c r="U51" s="1">
        <v>12</v>
      </c>
      <c r="W51" s="1">
        <v>4</v>
      </c>
      <c r="X51" s="1">
        <v>4</v>
      </c>
      <c r="Y51" s="1">
        <v>8</v>
      </c>
      <c r="Z51" s="1">
        <v>12</v>
      </c>
      <c r="AB51" s="41">
        <v>12</v>
      </c>
      <c r="AC51" s="18"/>
      <c r="AD51" s="41">
        <v>12</v>
      </c>
      <c r="AG51" s="1">
        <v>8</v>
      </c>
      <c r="AH51" s="1">
        <v>8</v>
      </c>
      <c r="AI51" s="1">
        <v>16</v>
      </c>
      <c r="AJ51" s="1">
        <v>23</v>
      </c>
      <c r="AL51" s="1">
        <v>8</v>
      </c>
      <c r="AM51" s="1">
        <v>8</v>
      </c>
      <c r="AN51" s="1">
        <v>16</v>
      </c>
      <c r="AO51" s="1">
        <v>23</v>
      </c>
      <c r="AZ51" s="1">
        <v>8</v>
      </c>
      <c r="BA51" s="1">
        <v>8</v>
      </c>
      <c r="BB51" s="1">
        <v>16</v>
      </c>
      <c r="BC51" s="1">
        <v>23</v>
      </c>
    </row>
    <row r="52" spans="1:57" x14ac:dyDescent="0.25">
      <c r="A52" t="s">
        <v>80</v>
      </c>
      <c r="B52" t="s">
        <v>137</v>
      </c>
      <c r="C52" s="56">
        <f>C51*1000/(365*25)</f>
        <v>0.43835616438356162</v>
      </c>
      <c r="D52" s="56">
        <f t="shared" ref="D52:F52" si="273">D51*1000/(365*25)</f>
        <v>0.43835616438356162</v>
      </c>
      <c r="E52" s="56">
        <f t="shared" si="273"/>
        <v>0.87671232876712324</v>
      </c>
      <c r="F52" s="56">
        <f t="shared" si="273"/>
        <v>1.2054794520547945</v>
      </c>
      <c r="H52" s="56">
        <f>H51*1000/(365*25)</f>
        <v>0.43835616438356162</v>
      </c>
      <c r="I52" s="56">
        <f t="shared" ref="I52" si="274">I51*1000/(365*25)</f>
        <v>0.43835616438356162</v>
      </c>
      <c r="J52" s="56">
        <f t="shared" ref="J52" si="275">J51*1000/(365*25)</f>
        <v>0.87671232876712324</v>
      </c>
      <c r="K52" s="56">
        <f t="shared" ref="K52" si="276">K51*1000/(365*25)</f>
        <v>1.2054794520547945</v>
      </c>
      <c r="M52" s="41"/>
      <c r="N52" s="18"/>
      <c r="O52" s="41"/>
      <c r="R52" s="56">
        <f>R51*1000/(365*25)</f>
        <v>0.43835616438356162</v>
      </c>
      <c r="S52" s="56">
        <f t="shared" ref="S52" si="277">S51*1000/(365*25)</f>
        <v>0.43835616438356162</v>
      </c>
      <c r="T52" s="56">
        <f t="shared" ref="T52" si="278">T51*1000/(365*25)</f>
        <v>0.87671232876712324</v>
      </c>
      <c r="U52" s="56">
        <f t="shared" ref="U52" si="279">U51*1000/(365*25)</f>
        <v>1.3150684931506849</v>
      </c>
      <c r="W52" s="56">
        <f>W51*1000/(365*25)</f>
        <v>0.43835616438356162</v>
      </c>
      <c r="X52" s="56">
        <f t="shared" ref="X52" si="280">X51*1000/(365*25)</f>
        <v>0.43835616438356162</v>
      </c>
      <c r="Y52" s="56">
        <f t="shared" ref="Y52" si="281">Y51*1000/(365*25)</f>
        <v>0.87671232876712324</v>
      </c>
      <c r="Z52" s="56">
        <f t="shared" ref="Z52" si="282">Z51*1000/(365*25)</f>
        <v>1.3150684931506849</v>
      </c>
      <c r="AB52" s="41"/>
      <c r="AC52" s="18"/>
      <c r="AD52" s="41"/>
      <c r="AG52" s="56">
        <f>AG51*1000/(365*25)</f>
        <v>0.87671232876712324</v>
      </c>
      <c r="AH52" s="56">
        <f t="shared" ref="AH52" si="283">AH51*1000/(365*25)</f>
        <v>0.87671232876712324</v>
      </c>
      <c r="AI52" s="56">
        <f t="shared" ref="AI52" si="284">AI51*1000/(365*25)</f>
        <v>1.7534246575342465</v>
      </c>
      <c r="AJ52" s="56">
        <f t="shared" ref="AJ52" si="285">AJ51*1000/(365*25)</f>
        <v>2.5205479452054793</v>
      </c>
      <c r="AL52" s="56">
        <f>AL51*1000/(365*25)</f>
        <v>0.87671232876712324</v>
      </c>
      <c r="AM52" s="56">
        <f t="shared" ref="AM52" si="286">AM51*1000/(365*25)</f>
        <v>0.87671232876712324</v>
      </c>
      <c r="AN52" s="56">
        <f t="shared" ref="AN52" si="287">AN51*1000/(365*25)</f>
        <v>1.7534246575342465</v>
      </c>
      <c r="AO52" s="56">
        <f t="shared" ref="AO52" si="288">AO51*1000/(365*25)</f>
        <v>2.5205479452054793</v>
      </c>
      <c r="AZ52" s="56">
        <f>AZ51*1000/(365*25)</f>
        <v>0.87671232876712324</v>
      </c>
      <c r="BA52" s="56">
        <f t="shared" ref="BA52:BC52" si="289">BA51*1000/(365*25)</f>
        <v>0.87671232876712324</v>
      </c>
      <c r="BB52" s="56">
        <f t="shared" si="289"/>
        <v>1.7534246575342465</v>
      </c>
      <c r="BC52" s="56">
        <f t="shared" si="289"/>
        <v>2.5205479452054793</v>
      </c>
    </row>
    <row r="53" spans="1:57" x14ac:dyDescent="0.25">
      <c r="A53" t="s">
        <v>81</v>
      </c>
      <c r="B53" t="s">
        <v>83</v>
      </c>
      <c r="C53" s="8">
        <f>C37/C50+C51</f>
        <v>76.725358095500525</v>
      </c>
      <c r="D53" s="8">
        <f t="shared" ref="D53:F53" si="290">D37/D50+D51</f>
        <v>83.246870333321695</v>
      </c>
      <c r="E53" s="8">
        <f t="shared" si="290"/>
        <v>89.384578662197001</v>
      </c>
      <c r="F53" s="8">
        <f t="shared" si="290"/>
        <v>105.76401778063324</v>
      </c>
      <c r="H53" s="8">
        <f>H37/H50+H51</f>
        <v>77.557627783728293</v>
      </c>
      <c r="I53" s="8">
        <f t="shared" ref="I53:J53" si="291">I37/I50+I51</f>
        <v>84.415697971893522</v>
      </c>
      <c r="J53" s="8">
        <f t="shared" si="291"/>
        <v>95.32677980584215</v>
      </c>
      <c r="K53" s="8">
        <f t="shared" ref="K53:M53" si="292">K37/K50+K51</f>
        <v>114.46499091215482</v>
      </c>
      <c r="M53" s="45">
        <f t="shared" si="292"/>
        <v>102.95873090535522</v>
      </c>
      <c r="N53" s="28">
        <f>(M53-K53)/K53</f>
        <v>-0.10052208902571769</v>
      </c>
      <c r="O53" s="45">
        <f t="shared" ref="O53" si="293">O37/O50+O51</f>
        <v>90.49013786687226</v>
      </c>
      <c r="P53" s="28">
        <f>(O53-K53)/K53</f>
        <v>-0.20945140391162792</v>
      </c>
      <c r="Q53" s="28"/>
      <c r="R53" s="8">
        <f>R37/R50+R51</f>
        <v>139.02494846183114</v>
      </c>
      <c r="S53" s="8">
        <f t="shared" ref="S53" si="294">S37/S50+S51</f>
        <v>140.10470044164202</v>
      </c>
      <c r="T53" s="8">
        <f t="shared" ref="T53" si="295">T37/T50+T51</f>
        <v>180.87462739426104</v>
      </c>
      <c r="U53" s="8">
        <f t="shared" ref="U53" si="296">U37/U50+U51</f>
        <v>196.08891857495615</v>
      </c>
      <c r="W53" s="8">
        <f>W37/W50+W51</f>
        <v>141.08177939027325</v>
      </c>
      <c r="X53" s="8">
        <f t="shared" ref="X53" si="297">X37/X50+X51</f>
        <v>147.80163715150931</v>
      </c>
      <c r="Y53" s="8">
        <f t="shared" ref="Y53" si="298">Y37/Y50+Y51</f>
        <v>212.76608059349226</v>
      </c>
      <c r="Z53" s="8">
        <f t="shared" ref="Z53:AB53" si="299">Z37/Z50+Z51</f>
        <v>250.03319885466843</v>
      </c>
      <c r="AB53" s="45">
        <f t="shared" si="299"/>
        <v>197.69825669836479</v>
      </c>
      <c r="AC53" s="28">
        <f>(AB53-Z53)/Z53</f>
        <v>-0.2093119729541327</v>
      </c>
      <c r="AD53" s="45">
        <f t="shared" ref="AD53" si="300">AD37/AD50+AD51</f>
        <v>213.35793893575536</v>
      </c>
      <c r="AE53" s="28">
        <f>(AD53-Z53)/Z53</f>
        <v>-0.14668156103634275</v>
      </c>
      <c r="AG53" s="8">
        <f>AG37/AG50+AG51</f>
        <v>236.87077834215273</v>
      </c>
      <c r="AH53" s="8">
        <f t="shared" ref="AH53" si="301">AH37/AH50+AH51</f>
        <v>230.83725272999501</v>
      </c>
      <c r="AI53" s="8">
        <f t="shared" ref="AI53" si="302">AI37/AI50+AI51</f>
        <v>266.35963922358098</v>
      </c>
      <c r="AJ53" s="8">
        <f t="shared" ref="AJ53" si="303">AJ37/AJ50+AJ51</f>
        <v>299.29345462608529</v>
      </c>
      <c r="AL53" s="8">
        <f>AL37/AL50+AL51</f>
        <v>206.74811019517622</v>
      </c>
      <c r="AM53" s="8">
        <f t="shared" ref="AM53:AO53" si="304">AM37/AM50+AM51</f>
        <v>217.27314156826449</v>
      </c>
      <c r="AN53" s="8">
        <f t="shared" si="304"/>
        <v>247.68483722205022</v>
      </c>
      <c r="AO53" s="8">
        <f t="shared" si="304"/>
        <v>287.42055118512496</v>
      </c>
      <c r="AZ53" s="8">
        <f>AZ37/AZ50+AZ51</f>
        <v>122.82082672560972</v>
      </c>
      <c r="BA53" s="8">
        <f t="shared" ref="BA53:BC53" si="305">BA37/BA50+BA51</f>
        <v>126.06897423367263</v>
      </c>
      <c r="BB53" s="8">
        <f t="shared" si="305"/>
        <v>143.45546905622172</v>
      </c>
      <c r="BC53" s="8">
        <f t="shared" si="305"/>
        <v>169.02053549991984</v>
      </c>
      <c r="BD53" s="66">
        <f>BA53/AM53</f>
        <v>0.58023266623621472</v>
      </c>
      <c r="BE53" s="65">
        <f>BC53/AO53</f>
        <v>0.58806002146678527</v>
      </c>
    </row>
    <row r="54" spans="1:57" x14ac:dyDescent="0.25">
      <c r="A54" t="s">
        <v>97</v>
      </c>
      <c r="B54" t="s">
        <v>103</v>
      </c>
      <c r="C54" s="9">
        <f>C6*C63+C64</f>
        <v>254.75727389599999</v>
      </c>
      <c r="D54" s="9">
        <f>D6*D63+D64</f>
        <v>270.01296753600002</v>
      </c>
      <c r="E54" s="9">
        <f>E6*E63+E64</f>
        <v>287.82772627200001</v>
      </c>
      <c r="F54" s="9">
        <f>F6*F63+F64</f>
        <v>322.23670399999997</v>
      </c>
      <c r="H54" s="9">
        <f>H6*H63+H64</f>
        <v>255.42831389599999</v>
      </c>
      <c r="I54" s="9">
        <f>I6*I63+I64</f>
        <v>270.77720753599999</v>
      </c>
      <c r="J54" s="9">
        <f>J6*J63+J64</f>
        <v>290.34762499999999</v>
      </c>
      <c r="K54" s="9">
        <f>K6*K63+K64</f>
        <v>327.60339299999998</v>
      </c>
      <c r="M54" s="46">
        <f>M6*M63+M64</f>
        <v>323.54150400000003</v>
      </c>
      <c r="N54" s="18"/>
      <c r="O54" s="46">
        <f>O6*O63+O64</f>
        <v>314.24916716234958</v>
      </c>
      <c r="R54" s="9">
        <f>R6*R63*2.15+R64</f>
        <v>410.02570000000003</v>
      </c>
      <c r="S54" s="9">
        <f>S6*S63*2.15+S64</f>
        <v>443.39246805000005</v>
      </c>
      <c r="T54" s="9">
        <f>T6*T63*2.15+T64</f>
        <v>576.68223620000003</v>
      </c>
      <c r="U54" s="9">
        <f>U6*U63*2.15+U64</f>
        <v>726.38711460000002</v>
      </c>
      <c r="W54" s="9">
        <f>W6*W63*2.15+W64</f>
        <v>416.97880000000004</v>
      </c>
      <c r="X54" s="9">
        <f>X6*X63*2.15+X64</f>
        <v>451.73618805000001</v>
      </c>
      <c r="Y54" s="9">
        <f>Y6*Y63*2.15+Y64</f>
        <v>620.93640000000005</v>
      </c>
      <c r="Z54" s="9">
        <f>Z6*Z63*2.15+Z64</f>
        <v>827.79112499999997</v>
      </c>
      <c r="AB54" s="46">
        <f>AB6*AB63*2.15+AB64</f>
        <v>427.64436619999998</v>
      </c>
      <c r="AC54" s="18"/>
      <c r="AD54" s="46">
        <f>AD6*AD63*2.15+AD64</f>
        <v>444.88962941641523</v>
      </c>
      <c r="AG54" s="9">
        <f>AG6*req*AG63+AG64</f>
        <v>509.44594740000002</v>
      </c>
      <c r="AH54" s="9">
        <f>AH6*req*AH63+AH64</f>
        <v>546.99870705000001</v>
      </c>
      <c r="AI54" s="9">
        <f>AI6*req*AI63+AI64</f>
        <v>724.20377459999986</v>
      </c>
      <c r="AJ54" s="9">
        <f>AJ6*req*AJ63+AJ64</f>
        <v>1111.4141391374999</v>
      </c>
      <c r="AL54" s="9">
        <f>AL6*req*AL63+AL64</f>
        <v>514.83055740000009</v>
      </c>
      <c r="AM54" s="9">
        <f>AM6*req*AM63+AM64</f>
        <v>569.32158682500005</v>
      </c>
      <c r="AN54" s="9">
        <f>AN6*req*AN63+AN64</f>
        <v>731.05691459999991</v>
      </c>
      <c r="AO54" s="9">
        <f>AO6*req*AO63+AO64</f>
        <v>962.54619359999981</v>
      </c>
      <c r="AZ54" s="9">
        <f>AZ6*$BA$1*AZ63+AZ64</f>
        <v>474.4818798</v>
      </c>
      <c r="BA54" s="9">
        <f t="shared" ref="BA54:BC54" si="306">BA6*$BA$1*BA63+BA64</f>
        <v>518.59366552500001</v>
      </c>
      <c r="BB54" s="9">
        <f t="shared" si="306"/>
        <v>649.52226419999988</v>
      </c>
      <c r="BC54" s="9">
        <f t="shared" si="306"/>
        <v>836.91834719999986</v>
      </c>
    </row>
    <row r="55" spans="1:57" x14ac:dyDescent="0.25">
      <c r="A55" t="s">
        <v>94</v>
      </c>
      <c r="C55" s="10">
        <f>C53/C54</f>
        <v>0.30117043145477468</v>
      </c>
      <c r="D55" s="10">
        <f>D53/D54</f>
        <v>0.30830693463721381</v>
      </c>
      <c r="E55" s="10">
        <f>E53/E54</f>
        <v>0.31054888220785132</v>
      </c>
      <c r="F55" s="10">
        <f>F53/F54</f>
        <v>0.32821840736253699</v>
      </c>
      <c r="H55" s="10">
        <f>H53/H54</f>
        <v>0.30363755137696519</v>
      </c>
      <c r="I55" s="10">
        <f>I53/I54</f>
        <v>0.31175333677473721</v>
      </c>
      <c r="J55" s="10">
        <f>J53/J54</f>
        <v>0.32831947499430092</v>
      </c>
      <c r="K55" s="10">
        <f>K53/K54</f>
        <v>0.34940111536682045</v>
      </c>
      <c r="M55" s="47">
        <f>M53/M54</f>
        <v>0.31822418339674657</v>
      </c>
      <c r="N55" s="18"/>
      <c r="O55" s="47">
        <f>O53/O54</f>
        <v>0.28795665135405951</v>
      </c>
      <c r="R55" s="10">
        <f>R53/R54</f>
        <v>0.3390639866277434</v>
      </c>
      <c r="S55" s="10">
        <f>S53/S54</f>
        <v>0.31598349213690935</v>
      </c>
      <c r="T55" s="10">
        <f>T53/T54</f>
        <v>0.31364695501307521</v>
      </c>
      <c r="U55" s="10">
        <f>U53/U54</f>
        <v>0.2699509870614053</v>
      </c>
      <c r="W55" s="10">
        <f>W53/W54</f>
        <v>0.33834281116995213</v>
      </c>
      <c r="X55" s="10">
        <f>X53/X54</f>
        <v>0.32718573597019424</v>
      </c>
      <c r="Y55" s="10">
        <f>Y53/Y54</f>
        <v>0.3426535802917855</v>
      </c>
      <c r="Z55" s="10">
        <f>Z53/Z54</f>
        <v>0.30204865853649787</v>
      </c>
      <c r="AB55" s="47">
        <f>AB53/AB54</f>
        <v>0.46229594570621702</v>
      </c>
      <c r="AC55" s="18"/>
      <c r="AD55" s="47">
        <f>AD53/AD54</f>
        <v>0.47957498855531433</v>
      </c>
      <c r="AG55" s="10">
        <f>AG53/AG54</f>
        <v>0.46495762612509245</v>
      </c>
      <c r="AH55" s="10">
        <f>AH53/AH54</f>
        <v>0.42200694399245564</v>
      </c>
      <c r="AI55" s="10">
        <f>AI53/AI54</f>
        <v>0.3677965354028977</v>
      </c>
      <c r="AJ55" s="10">
        <f>AJ53/AJ54</f>
        <v>0.2692906668061183</v>
      </c>
      <c r="AL55" s="10">
        <f>AL53/AL54</f>
        <v>0.40158476847080832</v>
      </c>
      <c r="AM55" s="10">
        <f>AM53/AM54</f>
        <v>0.38163517174881095</v>
      </c>
      <c r="AN55" s="10">
        <f>AN53/AN54</f>
        <v>0.33880376790851058</v>
      </c>
      <c r="AO55" s="10">
        <f>AO53/AO54</f>
        <v>0.29860442345125182</v>
      </c>
      <c r="AZ55" s="10">
        <f>AZ53/AZ54</f>
        <v>0.25885251250770674</v>
      </c>
      <c r="BA55" s="10">
        <f>BA53/BA54</f>
        <v>0.24309779045612964</v>
      </c>
      <c r="BB55" s="10">
        <f>BB53/BB54</f>
        <v>0.2208630511425381</v>
      </c>
      <c r="BC55" s="10">
        <f>BC53/BC54</f>
        <v>0.20195582527900863</v>
      </c>
    </row>
    <row r="56" spans="1:57" x14ac:dyDescent="0.25">
      <c r="A56" t="s">
        <v>84</v>
      </c>
      <c r="B56" t="s">
        <v>85</v>
      </c>
      <c r="C56" s="3">
        <f>C53/C6</f>
        <v>1.8321724517316575</v>
      </c>
      <c r="D56" s="3">
        <f>D53/D6</f>
        <v>0.77545860001407074</v>
      </c>
      <c r="E56" s="3">
        <f>E53/E6</f>
        <v>0.48628794104131462</v>
      </c>
      <c r="F56" s="3">
        <f>F53/F6</f>
        <v>0.31905836042521374</v>
      </c>
      <c r="G56" s="3"/>
      <c r="H56" s="3">
        <f>H53/H6</f>
        <v>1.7328714357687467</v>
      </c>
      <c r="I56" s="3">
        <f>I53/I6</f>
        <v>0.76303290804413204</v>
      </c>
      <c r="J56" s="3">
        <f>J53/J6</f>
        <v>0.48979719874549588</v>
      </c>
      <c r="K56" s="3">
        <f>K53/K6</f>
        <v>0.3228722442736956</v>
      </c>
      <c r="L56" s="3"/>
      <c r="M56" s="40">
        <f>M53/M6</f>
        <v>0.30543576426735819</v>
      </c>
      <c r="N56" s="40"/>
      <c r="O56" s="40">
        <f>O53/O6</f>
        <v>0.3044686743098422</v>
      </c>
      <c r="P56" s="3"/>
      <c r="Q56" s="3"/>
      <c r="R56" s="3">
        <f>R53/R6</f>
        <v>1.6954262007540384</v>
      </c>
      <c r="S56" s="3">
        <f>S53/S6</f>
        <v>1.2645627471197816</v>
      </c>
      <c r="T56" s="3">
        <f>T53/T6</f>
        <v>0.80099652540281752</v>
      </c>
      <c r="U56" s="3">
        <f>U53/U6</f>
        <v>0.55236937479564885</v>
      </c>
      <c r="V56" s="3"/>
      <c r="W56" s="3">
        <f>W53/W6</f>
        <v>1.6032020385258321</v>
      </c>
      <c r="X56" s="3">
        <f>X53/X6</f>
        <v>1.2526305556389723</v>
      </c>
      <c r="Y56" s="3">
        <f>Y53/Y6</f>
        <v>0.80593212346019816</v>
      </c>
      <c r="Z56" s="3">
        <f>Z53/Z6</f>
        <v>0.56504677707269713</v>
      </c>
      <c r="AA56" s="3"/>
      <c r="AB56" s="40">
        <f>AB53/AB6</f>
        <v>0.54223923657518125</v>
      </c>
      <c r="AC56" s="40"/>
      <c r="AD56" s="40">
        <f>AD53/AD6</f>
        <v>0.53470337516714284</v>
      </c>
      <c r="AE56" s="3"/>
      <c r="AF56" s="3"/>
      <c r="AG56" s="3">
        <f>AG53/AG6</f>
        <v>1.4041280074343949</v>
      </c>
      <c r="AH56" s="3">
        <f>AH53/AH6</f>
        <v>1.1577637536487499</v>
      </c>
      <c r="AI56" s="3">
        <f>AI53/AI6</f>
        <v>0.77388733707430057</v>
      </c>
      <c r="AJ56" s="3">
        <f>AJ53/AJ6</f>
        <v>0.45306957127915909</v>
      </c>
      <c r="AL56" s="5">
        <f>AL53/AL6</f>
        <v>1.194412985829691</v>
      </c>
      <c r="AM56" s="5">
        <f>AM53/AM6</f>
        <v>0.99839236463179171</v>
      </c>
      <c r="AN56" s="5">
        <f>AN53/AN6</f>
        <v>0.70810796726565617</v>
      </c>
      <c r="AO56" s="5">
        <f>AO53/AO6</f>
        <v>0.53330318397667487</v>
      </c>
      <c r="AZ56" s="5">
        <f>AZ53/AZ6</f>
        <v>0.70955323476920151</v>
      </c>
      <c r="BA56" s="5">
        <f>BA53/BA6</f>
        <v>0.5792998636801836</v>
      </c>
      <c r="BB56" s="5">
        <f>BB53/BB6</f>
        <v>0.4101258749863394</v>
      </c>
      <c r="BC56" s="5">
        <f>BC53/BC6</f>
        <v>0.31361428181762835</v>
      </c>
    </row>
    <row r="57" spans="1:57" x14ac:dyDescent="0.25">
      <c r="A57" t="s">
        <v>86</v>
      </c>
      <c r="B57" t="s">
        <v>87</v>
      </c>
      <c r="C57" s="5">
        <f>C54/C6*0.42</f>
        <v>2.5550729731675208</v>
      </c>
      <c r="D57" s="5">
        <f>D54/D6*0.42</f>
        <v>1.0563908086892488</v>
      </c>
      <c r="E57" s="5">
        <f>E54/E6*0.42</f>
        <v>0.65767725127618726</v>
      </c>
      <c r="F57" s="5">
        <f>F54/F6*0.42</f>
        <v>0.4082784766869389</v>
      </c>
      <c r="H57" s="5">
        <f>H54/H6*0.42</f>
        <v>2.3969565019950525</v>
      </c>
      <c r="I57" s="5">
        <f>I54/I6*0.42</f>
        <v>1.0279723857778604</v>
      </c>
      <c r="J57" s="5">
        <f>J54/J6*0.42</f>
        <v>0.62656905587668577</v>
      </c>
      <c r="K57" s="5">
        <f>K54/K6*0.42</f>
        <v>0.38811078909288871</v>
      </c>
      <c r="M57" s="27">
        <f>M54/M6*0.42</f>
        <v>0.40312153408012158</v>
      </c>
      <c r="N57" s="18"/>
      <c r="O57" s="27">
        <f>O54/O6*0.42</f>
        <v>0.444083658456292</v>
      </c>
      <c r="R57" s="5">
        <f>R54/R6*0.42</f>
        <v>2.1001316341463414</v>
      </c>
      <c r="S57" s="5">
        <f>S54/S6*0.42</f>
        <v>1.68083576201565</v>
      </c>
      <c r="T57" s="5">
        <f>T54/T6*0.42</f>
        <v>1.0726026039537315</v>
      </c>
      <c r="U57" s="5">
        <f>U54/U6*0.42</f>
        <v>0.85939725555217539</v>
      </c>
      <c r="W57" s="5">
        <f>W54/W6*0.42</f>
        <v>1.9901260909090908</v>
      </c>
      <c r="X57" s="5">
        <f>X54/X6*0.42</f>
        <v>1.6079699556838112</v>
      </c>
      <c r="Y57" s="5">
        <f>Y54/Y6*0.42</f>
        <v>0.98785336363636389</v>
      </c>
      <c r="Z57" s="5">
        <f>Z54/Z6*0.42</f>
        <v>0.78570005084745775</v>
      </c>
      <c r="AB57" s="27">
        <f>AB54/AB6*0.42</f>
        <v>0.49262919451667048</v>
      </c>
      <c r="AC57" s="18"/>
      <c r="AD57" s="27">
        <f>AD54/AD6*0.42</f>
        <v>0.46828008743057581</v>
      </c>
      <c r="AG57" s="5">
        <f>AG54/AG6*0.42</f>
        <v>1.2683602332479724</v>
      </c>
      <c r="AH57" s="5">
        <f>AH54/AH6*0.42</f>
        <v>1.1522577612873781</v>
      </c>
      <c r="AI57" s="5">
        <f>AI54/AI6*0.42</f>
        <v>0.8837295903702671</v>
      </c>
      <c r="AJ57" s="5">
        <f>AJ54/AJ6*0.42</f>
        <v>0.70663132218484825</v>
      </c>
      <c r="AL57" s="5">
        <f>AL54/AL6*0.42</f>
        <v>1.2491844647363313</v>
      </c>
      <c r="AM57" s="5">
        <f>AM54/AM6*0.42</f>
        <v>1.0987582492038981</v>
      </c>
      <c r="AN57" s="5">
        <f>AN54/AN6*0.42</f>
        <v>0.87781003171099892</v>
      </c>
      <c r="AO57" s="5">
        <f>AO54/AO6*0.42</f>
        <v>0.75011392892768081</v>
      </c>
      <c r="AZ57" s="5">
        <f>AZ54/AZ6*0.42</f>
        <v>1.1512824647363309</v>
      </c>
      <c r="BA57" s="5">
        <f>BA54/BA6*0.42</f>
        <v>1.0008562492038982</v>
      </c>
      <c r="BB57" s="5">
        <f>BB54/BB6*0.42</f>
        <v>0.77990803171099876</v>
      </c>
      <c r="BC57" s="5">
        <f>BC54/BC6*0.42</f>
        <v>0.65221192892768087</v>
      </c>
    </row>
    <row r="58" spans="1:57" x14ac:dyDescent="0.25">
      <c r="B58" t="s">
        <v>88</v>
      </c>
      <c r="C58" s="7">
        <f>(C56-C57)/C57</f>
        <v>-0.28292754415529836</v>
      </c>
      <c r="D58" s="7">
        <f t="shared" ref="D58:F58" si="307">(D56-D57)/D57</f>
        <v>-0.26593586991139562</v>
      </c>
      <c r="E58" s="7">
        <f t="shared" si="307"/>
        <v>-0.2605978995051158</v>
      </c>
      <c r="F58" s="7">
        <f t="shared" si="307"/>
        <v>-0.21852760151776909</v>
      </c>
      <c r="H58" s="7">
        <f>(H56-H57)/H57</f>
        <v>-0.27705344910246377</v>
      </c>
      <c r="I58" s="7">
        <f t="shared" ref="I58:J58" si="308">(I56-I57)/I57</f>
        <v>-0.25773015053633985</v>
      </c>
      <c r="J58" s="7">
        <f t="shared" si="308"/>
        <v>-0.21828696429928351</v>
      </c>
      <c r="K58" s="7">
        <f t="shared" ref="K58:M58" si="309">(K56-K57)/K57</f>
        <v>-0.16809258245995118</v>
      </c>
      <c r="M58" s="28">
        <f t="shared" si="309"/>
        <v>-0.24232337286488909</v>
      </c>
      <c r="N58" s="18"/>
      <c r="O58" s="28">
        <f t="shared" ref="O58" si="310">(O56-O57)/O57</f>
        <v>-0.31438892534747731</v>
      </c>
      <c r="R58" s="7">
        <f>(R56-R57)/R57</f>
        <v>-0.19270479374346797</v>
      </c>
      <c r="S58" s="7">
        <f t="shared" ref="S58" si="311">(S56-S57)/S57</f>
        <v>-0.24765835205497763</v>
      </c>
      <c r="T58" s="7">
        <f t="shared" ref="T58" si="312">(T56-T57)/T57</f>
        <v>-0.25322153568315425</v>
      </c>
      <c r="U58" s="7">
        <f t="shared" ref="U58" si="313">(U56-U57)/U57</f>
        <v>-0.35725955461570169</v>
      </c>
      <c r="W58" s="7">
        <f>(W56-W57)/W57</f>
        <v>-0.19442187816678064</v>
      </c>
      <c r="X58" s="7">
        <f t="shared" ref="X58" si="314">(X56-X57)/X57</f>
        <v>-0.22098634292810898</v>
      </c>
      <c r="Y58" s="7">
        <f t="shared" ref="Y58" si="315">(Y56-Y57)/Y57</f>
        <v>-0.18415814216241538</v>
      </c>
      <c r="Z58" s="7">
        <f t="shared" ref="Z58:AB58" si="316">(Z56-Z57)/Z57</f>
        <v>-0.28083652729405267</v>
      </c>
      <c r="AB58" s="28">
        <f t="shared" si="316"/>
        <v>0.10070463263385009</v>
      </c>
      <c r="AC58" s="18"/>
      <c r="AD58" s="28">
        <f t="shared" ref="AD58" si="317">(AD56-AD57)/AD57</f>
        <v>0.14184521084598653</v>
      </c>
      <c r="AG58" s="7">
        <f>(AG56-AG57)/AG57</f>
        <v>0.10704196696450592</v>
      </c>
      <c r="AH58" s="7">
        <f t="shared" ref="AH58" si="318">(AH56-AH57)/AH57</f>
        <v>4.7784380772755049E-3</v>
      </c>
      <c r="AI58" s="7">
        <f t="shared" ref="AI58" si="319">(AI56-AI57)/AI57</f>
        <v>-0.12429396332643401</v>
      </c>
      <c r="AJ58" s="7">
        <f t="shared" ref="AJ58" si="320">(AJ56-AJ57)/AJ57</f>
        <v>-0.35883174569971826</v>
      </c>
      <c r="AL58" s="7">
        <f>(AL56-AL57)/AL57</f>
        <v>-4.3845789355218254E-2</v>
      </c>
      <c r="AM58" s="7">
        <f t="shared" ref="AM58:AO58" si="321">(AM56-AM57)/AM57</f>
        <v>-9.1344829169497627E-2</v>
      </c>
      <c r="AN58" s="7">
        <f t="shared" si="321"/>
        <v>-0.19332436212259385</v>
      </c>
      <c r="AO58" s="7">
        <f t="shared" si="321"/>
        <v>-0.28903708702082892</v>
      </c>
      <c r="AZ58" s="7">
        <f>(AZ56-AZ57)/AZ57</f>
        <v>-0.38368449402926946</v>
      </c>
      <c r="BA58" s="7">
        <f t="shared" ref="BA58:BC58" si="322">(BA56-BA57)/BA57</f>
        <v>-0.42119573700921509</v>
      </c>
      <c r="BB58" s="7">
        <f t="shared" si="322"/>
        <v>-0.47413559251776644</v>
      </c>
      <c r="BC58" s="7">
        <f t="shared" si="322"/>
        <v>-0.51915279695474137</v>
      </c>
    </row>
    <row r="59" spans="1:57" x14ac:dyDescent="0.25">
      <c r="A59" t="s">
        <v>91</v>
      </c>
      <c r="B59" t="s">
        <v>92</v>
      </c>
      <c r="C59" s="5">
        <f>C54/C6*0.33</f>
        <v>2.007557336060195</v>
      </c>
      <c r="D59" s="5">
        <f>D54/D6*0.33</f>
        <v>0.83002134968440988</v>
      </c>
      <c r="E59" s="5">
        <f>E54/E6*0.33</f>
        <v>0.51674641171700431</v>
      </c>
      <c r="F59" s="5">
        <f>F54/F6*0.33</f>
        <v>0.32079023168259485</v>
      </c>
      <c r="H59" s="5">
        <f>H54/H6*0.33</f>
        <v>1.8833229658532555</v>
      </c>
      <c r="I59" s="5">
        <f>I54/I6*0.33</f>
        <v>0.80769258882546191</v>
      </c>
      <c r="J59" s="5">
        <f>J54/J6*0.33</f>
        <v>0.49230425818882456</v>
      </c>
      <c r="K59" s="5">
        <f>K54/K6*0.33</f>
        <v>0.30494419143012691</v>
      </c>
      <c r="M59" s="27">
        <f>M54/M6*0.33</f>
        <v>0.31673834820580982</v>
      </c>
      <c r="N59" s="18"/>
      <c r="O59" s="27">
        <f>O54/O6*0.33</f>
        <v>0.34892287450137227</v>
      </c>
      <c r="R59" s="5">
        <f>R54/R6*0.33</f>
        <v>1.6501034268292685</v>
      </c>
      <c r="S59" s="5">
        <f>S54/S6*0.33</f>
        <v>1.3206566701551539</v>
      </c>
      <c r="T59" s="5">
        <f>T54/T6*0.33</f>
        <v>0.84275918882078904</v>
      </c>
      <c r="U59" s="5">
        <f>U54/U6*0.33</f>
        <v>0.67524070079099496</v>
      </c>
      <c r="W59" s="5">
        <f>W54/W6*0.33</f>
        <v>1.5636705</v>
      </c>
      <c r="X59" s="5">
        <f>X54/X6*0.33</f>
        <v>1.2634049651801376</v>
      </c>
      <c r="Y59" s="5">
        <f>Y54/Y6*0.33</f>
        <v>0.77617050000000032</v>
      </c>
      <c r="Z59" s="5">
        <f>Z54/Z6*0.33</f>
        <v>0.61733575423728826</v>
      </c>
      <c r="AB59" s="27">
        <f>AB54/AB6*0.33</f>
        <v>0.38706579569166971</v>
      </c>
      <c r="AC59" s="18"/>
      <c r="AD59" s="27">
        <f>AD54/AD6*0.33</f>
        <v>0.36793435440973815</v>
      </c>
      <c r="AG59" s="5">
        <f>AG54/AG6*0.33</f>
        <v>0.99656875469483563</v>
      </c>
      <c r="AH59" s="5">
        <f>AH54/AH6*0.33</f>
        <v>0.90534538386865437</v>
      </c>
      <c r="AI59" s="5">
        <f>AI54/AI6*0.33</f>
        <v>0.69435896386235274</v>
      </c>
      <c r="AJ59" s="5">
        <f>AJ54/AJ6*0.33</f>
        <v>0.55521032457380937</v>
      </c>
      <c r="AL59" s="5">
        <f>AL54/AL6*0.33</f>
        <v>0.98150207943568901</v>
      </c>
      <c r="AM59" s="5">
        <f>AM54/AM6*0.33</f>
        <v>0.86331005294592</v>
      </c>
      <c r="AN59" s="5">
        <f>AN54/AN6*0.33</f>
        <v>0.68970788205864197</v>
      </c>
      <c r="AO59" s="5">
        <f>AO54/AO6*0.33</f>
        <v>0.58937522987174928</v>
      </c>
      <c r="AZ59" s="5">
        <f>AZ54/AZ6*0.33</f>
        <v>0.90457907943568872</v>
      </c>
      <c r="BA59" s="5">
        <f>BA54/BA6*0.33</f>
        <v>0.78638705294592004</v>
      </c>
      <c r="BB59" s="5">
        <f>BB54/BB6*0.33</f>
        <v>0.6127848820586419</v>
      </c>
      <c r="BC59" s="5">
        <f>BC54/BC6*0.33</f>
        <v>0.51245222987174932</v>
      </c>
    </row>
    <row r="60" spans="1:57" x14ac:dyDescent="0.25">
      <c r="B60" t="s">
        <v>88</v>
      </c>
      <c r="C60" s="7">
        <f>(C56-C59)/C59</f>
        <v>-8.7362328924925264E-2</v>
      </c>
      <c r="D60" s="7">
        <f t="shared" ref="D60:F60" si="323">(D56-D59)/D59</f>
        <v>-6.5736561705412699E-2</v>
      </c>
      <c r="E60" s="7">
        <f t="shared" si="323"/>
        <v>-5.8942781188329255E-2</v>
      </c>
      <c r="F60" s="7">
        <f t="shared" si="323"/>
        <v>-5.3987655680697542E-3</v>
      </c>
      <c r="H60" s="7">
        <f>(H56-H59)/H59</f>
        <v>-7.9886207948590221E-2</v>
      </c>
      <c r="I60" s="7">
        <f t="shared" ref="I60:J60" si="324">(I56-I59)/I59</f>
        <v>-5.5292918864432702E-2</v>
      </c>
      <c r="J60" s="7">
        <f t="shared" si="324"/>
        <v>-5.0925000172700029E-3</v>
      </c>
      <c r="K60" s="7">
        <f t="shared" ref="K60:M60" si="325">(K56-K59)/K59</f>
        <v>5.879125868733464E-2</v>
      </c>
      <c r="M60" s="28">
        <f t="shared" si="325"/>
        <v>-3.5684292737131564E-2</v>
      </c>
      <c r="N60" s="18"/>
      <c r="O60" s="28">
        <f t="shared" ref="O60" si="326">(O56-O59)/O59</f>
        <v>-0.12740408680588017</v>
      </c>
      <c r="R60" s="7">
        <f>(R56-R59)/R59</f>
        <v>2.7466626144677007E-2</v>
      </c>
      <c r="S60" s="7">
        <f t="shared" ref="S60" si="327">(S56-S59)/S59</f>
        <v>-4.2474266251789919E-2</v>
      </c>
      <c r="T60" s="7">
        <f t="shared" ref="T60" si="328">(T56-T59)/T59</f>
        <v>-4.9554681778559956E-2</v>
      </c>
      <c r="U60" s="7">
        <f t="shared" ref="U60" si="329">(U56-U59)/U59</f>
        <v>-0.18196670587452943</v>
      </c>
      <c r="W60" s="7">
        <f>(W56-W59)/W59</f>
        <v>2.5281245969551856E-2</v>
      </c>
      <c r="X60" s="7">
        <f t="shared" ref="X60" si="330">(X56-X59)/X59</f>
        <v>-8.5280728175933969E-3</v>
      </c>
      <c r="Y60" s="7">
        <f t="shared" ref="Y60" si="331">(Y56-Y59)/Y59</f>
        <v>3.8344182702380249E-2</v>
      </c>
      <c r="Z60" s="7">
        <f t="shared" ref="Z60:AB60" si="332">(Z56-Z59)/Z59</f>
        <v>-8.4701034737885234E-2</v>
      </c>
      <c r="AB60" s="28">
        <f t="shared" si="332"/>
        <v>0.40089680517035448</v>
      </c>
      <c r="AC60" s="18"/>
      <c r="AD60" s="28">
        <f t="shared" ref="AD60" si="333">(AD56-AD59)/AD59</f>
        <v>0.45325754107671007</v>
      </c>
      <c r="AG60" s="7">
        <f>(AG56-AG59)/AG59</f>
        <v>0.40896250340937096</v>
      </c>
      <c r="AH60" s="7">
        <f t="shared" ref="AH60" si="334">(AH56-AH59)/AH59</f>
        <v>0.27880892118925954</v>
      </c>
      <c r="AI60" s="7">
        <f t="shared" ref="AI60" si="335">(AI56-AI59)/AI59</f>
        <v>0.11453495576635669</v>
      </c>
      <c r="AJ60" s="7">
        <f t="shared" ref="AJ60" si="336">(AJ56-AJ59)/AJ59</f>
        <v>-0.18396767634509603</v>
      </c>
      <c r="AL60" s="7">
        <f>(AL56-AL59)/AL59</f>
        <v>0.21692354082063112</v>
      </c>
      <c r="AM60" s="7">
        <f t="shared" ref="AM60:AO60" si="337">(AM56-AM59)/AM59</f>
        <v>0.15647021742063927</v>
      </c>
      <c r="AN60" s="7">
        <f t="shared" si="337"/>
        <v>2.6678084571244234E-2</v>
      </c>
      <c r="AO60" s="7">
        <f t="shared" si="337"/>
        <v>-9.5138110753782354E-2</v>
      </c>
      <c r="AZ60" s="7">
        <f>(AZ56-AZ59)/AZ59</f>
        <v>-0.21559844694634309</v>
      </c>
      <c r="BA60" s="7">
        <f t="shared" ref="BA60:BC60" si="338">(BA56-BA59)/BA59</f>
        <v>-0.26334002892081931</v>
      </c>
      <c r="BB60" s="7">
        <f t="shared" si="338"/>
        <v>-0.33071802684079366</v>
      </c>
      <c r="BC60" s="7">
        <f t="shared" si="338"/>
        <v>-0.38801265066967094</v>
      </c>
    </row>
    <row r="61" spans="1:57" x14ac:dyDescent="0.25">
      <c r="B61" t="s">
        <v>109</v>
      </c>
      <c r="C61" s="5">
        <f>70/C6+0.11</f>
        <v>1.7815734511343682</v>
      </c>
      <c r="D61" s="5">
        <f>70/D6+0.11</f>
        <v>0.76206177461853652</v>
      </c>
      <c r="E61" s="5">
        <f>70/E6+0.11</f>
        <v>0.49082806209264446</v>
      </c>
      <c r="F61" s="5">
        <f>70/F6+0.11</f>
        <v>0.32116903175982242</v>
      </c>
      <c r="M61" s="18"/>
      <c r="N61" s="18"/>
      <c r="O61" s="18"/>
      <c r="R61" s="5">
        <f>106/R6+2.15*0.157</f>
        <v>1.6302329268292683</v>
      </c>
      <c r="S61" s="5">
        <f>106/S6+2.15*0.157</f>
        <v>1.2942891441697575</v>
      </c>
      <c r="T61" s="5">
        <f>106/T6+2.15*0.157</f>
        <v>0.80696703718137197</v>
      </c>
      <c r="U61" s="5">
        <f>106/U6+2.15*0.157</f>
        <v>0.63614491374550697</v>
      </c>
      <c r="AB61" s="18"/>
      <c r="AC61" s="18"/>
      <c r="AD61" s="18"/>
      <c r="AG61" s="5">
        <f>176/AG6+1.35*0.081</f>
        <v>1.1526468179447051</v>
      </c>
      <c r="AH61" s="5">
        <f>176/AH6+1.35*0.081</f>
        <v>0.99207762837166857</v>
      </c>
      <c r="AI61" s="5">
        <f>176/AI6+1.35*0.081</f>
        <v>0.62070439183692461</v>
      </c>
      <c r="AJ61" s="5">
        <f>176/AJ6+1.35*0.081</f>
        <v>0.3757782940793124</v>
      </c>
      <c r="AL61" s="5"/>
      <c r="AM61" s="5"/>
      <c r="AN61" s="5"/>
      <c r="AO61" s="5"/>
      <c r="AZ61" s="5"/>
      <c r="BA61" s="5"/>
      <c r="BB61" s="5"/>
      <c r="BC61" s="5"/>
    </row>
    <row r="62" spans="1:57" x14ac:dyDescent="0.25">
      <c r="B62" t="s">
        <v>101</v>
      </c>
      <c r="C62" s="7">
        <f>(C61-C56)/C56</f>
        <v>-2.7616942143992126E-2</v>
      </c>
      <c r="D62" s="7">
        <f t="shared" ref="D62:F62" si="339">(D61-D56)/D56</f>
        <v>-1.7276003380826688E-2</v>
      </c>
      <c r="E62" s="7">
        <f t="shared" si="339"/>
        <v>9.336281384251131E-3</v>
      </c>
      <c r="F62" s="7">
        <f t="shared" si="339"/>
        <v>6.6153143011070453E-3</v>
      </c>
      <c r="M62" s="18"/>
      <c r="N62" s="18"/>
      <c r="O62" s="18"/>
      <c r="R62" s="7">
        <f>(R61-R56)/R56</f>
        <v>-3.845243980290939E-2</v>
      </c>
      <c r="S62" s="7">
        <f t="shared" ref="S62:U62" si="340">(S61-S56)/S56</f>
        <v>2.3507253489541705E-2</v>
      </c>
      <c r="T62" s="7">
        <f t="shared" si="340"/>
        <v>7.4538547786482737E-3</v>
      </c>
      <c r="U62" s="7">
        <f t="shared" si="340"/>
        <v>0.15166579244341921</v>
      </c>
      <c r="AB62" s="18"/>
      <c r="AC62" s="18"/>
      <c r="AD62" s="18"/>
      <c r="AG62" s="7">
        <f>(AG61-AG56)/AG56</f>
        <v>-0.17910132705720547</v>
      </c>
      <c r="AH62" s="7">
        <f t="shared" ref="AH62" si="341">(AH61-AH56)/AH56</f>
        <v>-0.14310875146584381</v>
      </c>
      <c r="AI62" s="7">
        <f t="shared" ref="AI62" si="342">(AI61-AI56)/AI56</f>
        <v>-0.19793959391619939</v>
      </c>
      <c r="AJ62" s="7">
        <f t="shared" ref="AJ62" si="343">(AJ61-AJ56)/AJ56</f>
        <v>-0.17059472120722849</v>
      </c>
      <c r="AL62" s="7"/>
      <c r="AM62" s="7"/>
      <c r="AN62" s="7"/>
      <c r="AO62" s="7"/>
      <c r="AZ62" s="7"/>
      <c r="BA62" s="7"/>
      <c r="BB62" s="7"/>
      <c r="BC62" s="7"/>
    </row>
    <row r="63" spans="1:57" x14ac:dyDescent="0.25">
      <c r="A63" t="s">
        <v>95</v>
      </c>
      <c r="B63" t="s">
        <v>130</v>
      </c>
      <c r="C63">
        <v>0.23300000000000001</v>
      </c>
      <c r="D63">
        <v>0.23300000000000001</v>
      </c>
      <c r="E63">
        <v>0.23300000000000001</v>
      </c>
      <c r="F63">
        <v>0.23300000000000001</v>
      </c>
      <c r="H63">
        <v>0.23300000000000001</v>
      </c>
      <c r="I63">
        <v>0.23300000000000001</v>
      </c>
      <c r="J63">
        <v>0.23300000000000001</v>
      </c>
      <c r="K63">
        <v>0.23300000000000001</v>
      </c>
      <c r="M63" s="18">
        <v>0.23300000000000001</v>
      </c>
      <c r="N63" s="18"/>
      <c r="O63" s="18">
        <v>0.23300000000000001</v>
      </c>
      <c r="R63">
        <v>0.53900000000000003</v>
      </c>
      <c r="S63">
        <v>0.53900000000000003</v>
      </c>
      <c r="T63">
        <v>0.53900000000000003</v>
      </c>
      <c r="U63">
        <v>0.53900000000000003</v>
      </c>
      <c r="W63">
        <v>0.53900000000000003</v>
      </c>
      <c r="X63">
        <v>0.53900000000000003</v>
      </c>
      <c r="Y63">
        <v>0.53900000000000003</v>
      </c>
      <c r="Z63">
        <v>0.53900000000000003</v>
      </c>
      <c r="AB63" s="18">
        <v>0.23300000000000001</v>
      </c>
      <c r="AC63" s="18"/>
      <c r="AD63" s="18">
        <v>0.23300000000000001</v>
      </c>
      <c r="AG63">
        <v>0.77700000000000002</v>
      </c>
      <c r="AH63">
        <f>AG63</f>
        <v>0.77700000000000002</v>
      </c>
      <c r="AI63">
        <f t="shared" ref="AI63:AJ63" si="344">AH63</f>
        <v>0.77700000000000002</v>
      </c>
      <c r="AJ63">
        <f t="shared" si="344"/>
        <v>0.77700000000000002</v>
      </c>
      <c r="AL63">
        <v>0.77700000000000002</v>
      </c>
      <c r="AM63">
        <f>AL63</f>
        <v>0.77700000000000002</v>
      </c>
      <c r="AN63">
        <f t="shared" ref="AN63:AO63" si="345">AM63</f>
        <v>0.77700000000000002</v>
      </c>
      <c r="AO63">
        <f t="shared" si="345"/>
        <v>0.77700000000000002</v>
      </c>
      <c r="AZ63">
        <v>0.77700000000000002</v>
      </c>
      <c r="BA63">
        <f>AZ63</f>
        <v>0.77700000000000002</v>
      </c>
      <c r="BB63">
        <f t="shared" ref="BB63:BB64" si="346">BA63</f>
        <v>0.77700000000000002</v>
      </c>
      <c r="BC63">
        <f t="shared" ref="BC63:BC64" si="347">BB63</f>
        <v>0.77700000000000002</v>
      </c>
    </row>
    <row r="64" spans="1:57" x14ac:dyDescent="0.25">
      <c r="A64" t="s">
        <v>96</v>
      </c>
      <c r="B64" t="s">
        <v>131</v>
      </c>
      <c r="C64">
        <v>245</v>
      </c>
      <c r="D64">
        <v>245</v>
      </c>
      <c r="E64">
        <v>245</v>
      </c>
      <c r="F64">
        <v>245</v>
      </c>
      <c r="H64">
        <v>245</v>
      </c>
      <c r="I64">
        <v>245</v>
      </c>
      <c r="J64">
        <v>245</v>
      </c>
      <c r="K64">
        <v>245</v>
      </c>
      <c r="M64" s="18">
        <v>245</v>
      </c>
      <c r="N64" s="18"/>
      <c r="O64" s="18">
        <v>245</v>
      </c>
      <c r="R64">
        <v>315</v>
      </c>
      <c r="S64">
        <v>315</v>
      </c>
      <c r="T64">
        <v>315</v>
      </c>
      <c r="U64">
        <v>315</v>
      </c>
      <c r="W64">
        <v>315</v>
      </c>
      <c r="X64">
        <v>315</v>
      </c>
      <c r="Y64">
        <v>315</v>
      </c>
      <c r="Z64">
        <v>315</v>
      </c>
      <c r="AB64" s="18">
        <v>245</v>
      </c>
      <c r="AC64" s="18"/>
      <c r="AD64" s="18">
        <v>245</v>
      </c>
      <c r="AG64">
        <v>303</v>
      </c>
      <c r="AH64">
        <f>AG64</f>
        <v>303</v>
      </c>
      <c r="AI64">
        <f t="shared" ref="AI64:AJ64" si="348">AH64</f>
        <v>303</v>
      </c>
      <c r="AJ64">
        <f t="shared" si="348"/>
        <v>303</v>
      </c>
      <c r="AL64">
        <v>303</v>
      </c>
      <c r="AM64">
        <f>AL64</f>
        <v>303</v>
      </c>
      <c r="AN64">
        <f t="shared" ref="AN64:AO64" si="349">AM64</f>
        <v>303</v>
      </c>
      <c r="AO64">
        <f t="shared" si="349"/>
        <v>303</v>
      </c>
      <c r="AZ64">
        <v>303</v>
      </c>
      <c r="BA64">
        <f>AZ64</f>
        <v>303</v>
      </c>
      <c r="BB64">
        <f t="shared" si="346"/>
        <v>303</v>
      </c>
      <c r="BC64">
        <f t="shared" si="347"/>
        <v>303</v>
      </c>
    </row>
    <row r="65" spans="1:55" x14ac:dyDescent="0.25">
      <c r="M65" s="18"/>
      <c r="N65" s="18"/>
      <c r="O65" s="18"/>
      <c r="AB65" s="18"/>
      <c r="AC65" s="18"/>
      <c r="AD65" s="18"/>
    </row>
    <row r="66" spans="1:55" x14ac:dyDescent="0.25">
      <c r="A66" t="s">
        <v>138</v>
      </c>
      <c r="B66" t="s">
        <v>139</v>
      </c>
      <c r="C66" s="4">
        <f>(C45+C45/C50)/(2*C14)/C39</f>
        <v>16.160846491148</v>
      </c>
      <c r="D66" s="4">
        <f t="shared" ref="D66:AO66" si="350">(D45+D45/D50)/(2*D14)/D39</f>
        <v>14.710378912591299</v>
      </c>
      <c r="E66" s="4">
        <f t="shared" si="350"/>
        <v>11.830814846626684</v>
      </c>
      <c r="F66" s="4">
        <f t="shared" si="350"/>
        <v>7.6088643457480174</v>
      </c>
      <c r="G66" s="4"/>
      <c r="H66" s="4">
        <f t="shared" si="350"/>
        <v>16.158186768428113</v>
      </c>
      <c r="I66" s="4">
        <f t="shared" si="350"/>
        <v>18.015410054041663</v>
      </c>
      <c r="J66" s="4">
        <f t="shared" si="350"/>
        <v>17.136128632626409</v>
      </c>
      <c r="K66" s="4">
        <f t="shared" si="350"/>
        <v>12.732216359497418</v>
      </c>
      <c r="L66" s="4"/>
      <c r="M66" s="4">
        <f t="shared" si="350"/>
        <v>12.738280796634626</v>
      </c>
      <c r="N66" s="4"/>
      <c r="O66" s="4">
        <f t="shared" si="350"/>
        <v>12.749902680572914</v>
      </c>
      <c r="P66" s="4"/>
      <c r="Q66" s="4"/>
      <c r="R66" s="4">
        <f t="shared" si="350"/>
        <v>11.91875267264145</v>
      </c>
      <c r="S66" s="4">
        <f t="shared" si="350"/>
        <v>13.681622686572728</v>
      </c>
      <c r="T66" s="4">
        <f t="shared" si="350"/>
        <v>10.91574641869135</v>
      </c>
      <c r="U66" s="4">
        <f t="shared" si="350"/>
        <v>11.908819774168373</v>
      </c>
      <c r="V66" s="4"/>
      <c r="W66" s="4">
        <f t="shared" si="350"/>
        <v>11.914132482732123</v>
      </c>
      <c r="X66" s="4">
        <f t="shared" si="350"/>
        <v>11.048983906063544</v>
      </c>
      <c r="Y66" s="4">
        <f t="shared" si="350"/>
        <v>7.4858915633509913</v>
      </c>
      <c r="Z66" s="4">
        <f t="shared" si="350"/>
        <v>7.7641255295005704</v>
      </c>
      <c r="AA66" s="4"/>
      <c r="AB66" s="4">
        <f t="shared" si="350"/>
        <v>11.907130912266835</v>
      </c>
      <c r="AC66" s="4"/>
      <c r="AD66" s="4">
        <f t="shared" si="350"/>
        <v>11.8906974230353</v>
      </c>
      <c r="AE66" s="4"/>
      <c r="AF66" s="4"/>
      <c r="AG66" s="4">
        <f t="shared" si="350"/>
        <v>10.368916840572838</v>
      </c>
      <c r="AH66" s="4">
        <f t="shared" si="350"/>
        <v>8.7137641961887553</v>
      </c>
      <c r="AI66" s="4">
        <f t="shared" si="350"/>
        <v>8.5186062999447945</v>
      </c>
      <c r="AJ66" s="4">
        <f t="shared" si="350"/>
        <v>7.7728459639565726</v>
      </c>
      <c r="AK66" s="4"/>
      <c r="AL66" s="4">
        <f t="shared" si="350"/>
        <v>10.640269794630301</v>
      </c>
      <c r="AM66" s="4">
        <f t="shared" si="350"/>
        <v>9.2266826925922505</v>
      </c>
      <c r="AN66" s="4">
        <f t="shared" si="350"/>
        <v>8.1715606793297901</v>
      </c>
      <c r="AO66" s="4">
        <f t="shared" si="350"/>
        <v>7.8569847017458923</v>
      </c>
      <c r="AZ66" s="4">
        <f t="shared" ref="AZ66:BC66" si="351">(AZ45+AZ45/AZ50)/(2*AZ14)/AZ39</f>
        <v>10.741018941505494</v>
      </c>
      <c r="BA66" s="4">
        <f t="shared" si="351"/>
        <v>9.3168249837371562</v>
      </c>
      <c r="BB66" s="4">
        <f t="shared" si="351"/>
        <v>8.2451434232957492</v>
      </c>
      <c r="BC66" s="4">
        <f t="shared" si="351"/>
        <v>7.9336059235469607</v>
      </c>
    </row>
    <row r="67" spans="1:55" x14ac:dyDescent="0.25">
      <c r="C67" s="11"/>
    </row>
    <row r="68" spans="1:55" x14ac:dyDescent="0.25">
      <c r="C68" t="s">
        <v>105</v>
      </c>
      <c r="H68" s="13" t="s">
        <v>99</v>
      </c>
      <c r="R68" t="s">
        <v>105</v>
      </c>
      <c r="W68" s="13" t="s">
        <v>99</v>
      </c>
      <c r="AG68" t="s">
        <v>105</v>
      </c>
      <c r="AL68" s="13" t="s">
        <v>99</v>
      </c>
    </row>
    <row r="69" spans="1:55" x14ac:dyDescent="0.25">
      <c r="H69" s="14" t="s">
        <v>126</v>
      </c>
      <c r="W69" s="14" t="s">
        <v>126</v>
      </c>
      <c r="AL69" s="14" t="s">
        <v>126</v>
      </c>
    </row>
    <row r="70" spans="1:55" x14ac:dyDescent="0.25">
      <c r="C70">
        <v>0</v>
      </c>
      <c r="D70">
        <f>C64*0.33</f>
        <v>80.850000000000009</v>
      </c>
      <c r="H70" t="s">
        <v>127</v>
      </c>
      <c r="R70">
        <v>0</v>
      </c>
      <c r="S70">
        <f>R64*0.33</f>
        <v>103.95</v>
      </c>
      <c r="W70" t="s">
        <v>127</v>
      </c>
      <c r="AG70">
        <v>0</v>
      </c>
      <c r="AH70">
        <f>AG64*0.33</f>
        <v>99.990000000000009</v>
      </c>
      <c r="AL70" t="s">
        <v>127</v>
      </c>
    </row>
    <row r="71" spans="1:55" x14ac:dyDescent="0.25">
      <c r="C71">
        <v>400</v>
      </c>
      <c r="D71" s="11">
        <f>(C64+C71*C63)*0.33</f>
        <v>111.60599999999999</v>
      </c>
      <c r="H71" s="12" t="s">
        <v>93</v>
      </c>
      <c r="R71">
        <v>500</v>
      </c>
      <c r="S71" s="11">
        <f>(R64+R71*R63*2.15)*0.33</f>
        <v>295.16025000000002</v>
      </c>
      <c r="W71" s="12" t="s">
        <v>104</v>
      </c>
      <c r="AG71">
        <v>700</v>
      </c>
      <c r="AH71" s="11">
        <f>(AG64+AG71*AG63*req)*0.33</f>
        <v>382.68202500000001</v>
      </c>
      <c r="AL71" t="s">
        <v>185</v>
      </c>
    </row>
    <row r="72" spans="1:55" x14ac:dyDescent="0.25">
      <c r="F72" s="12"/>
      <c r="H72" t="s">
        <v>133</v>
      </c>
      <c r="W72" t="s">
        <v>166</v>
      </c>
      <c r="AL72" s="12" t="s">
        <v>107</v>
      </c>
    </row>
    <row r="73" spans="1:55" x14ac:dyDescent="0.25">
      <c r="AL73" t="s">
        <v>108</v>
      </c>
    </row>
    <row r="74" spans="1:55" x14ac:dyDescent="0.25">
      <c r="AL74" t="s">
        <v>167</v>
      </c>
    </row>
    <row r="75" spans="1:55" x14ac:dyDescent="0.25">
      <c r="AL75" t="s">
        <v>168</v>
      </c>
    </row>
    <row r="93" spans="1:3" x14ac:dyDescent="0.25">
      <c r="A93" s="13" t="s">
        <v>169</v>
      </c>
    </row>
    <row r="94" spans="1:3" x14ac:dyDescent="0.25">
      <c r="B94" t="s">
        <v>117</v>
      </c>
      <c r="C94" t="s">
        <v>96</v>
      </c>
    </row>
    <row r="95" spans="1:3" x14ac:dyDescent="0.25">
      <c r="B95" t="s">
        <v>118</v>
      </c>
      <c r="C95" t="s">
        <v>96</v>
      </c>
    </row>
    <row r="96" spans="1:3" x14ac:dyDescent="0.25">
      <c r="B96" t="s">
        <v>120</v>
      </c>
      <c r="C96">
        <v>0.13</v>
      </c>
    </row>
    <row r="97" spans="2:55" x14ac:dyDescent="0.25">
      <c r="B97" t="s">
        <v>122</v>
      </c>
      <c r="C97">
        <v>72</v>
      </c>
    </row>
    <row r="98" spans="2:55" x14ac:dyDescent="0.25">
      <c r="B98" t="s">
        <v>121</v>
      </c>
      <c r="C98" s="3">
        <v>0.15</v>
      </c>
    </row>
    <row r="99" spans="2:55" x14ac:dyDescent="0.25">
      <c r="B99" t="s">
        <v>123</v>
      </c>
      <c r="C99">
        <v>115</v>
      </c>
    </row>
    <row r="100" spans="2:55" x14ac:dyDescent="0.25">
      <c r="B100" t="s">
        <v>125</v>
      </c>
      <c r="C100">
        <v>0.87</v>
      </c>
    </row>
    <row r="101" spans="2:55" x14ac:dyDescent="0.25">
      <c r="B101" t="s">
        <v>124</v>
      </c>
      <c r="C101" t="s">
        <v>96</v>
      </c>
    </row>
    <row r="103" spans="2:55" x14ac:dyDescent="0.25">
      <c r="B103" t="s">
        <v>116</v>
      </c>
    </row>
    <row r="104" spans="2:55" x14ac:dyDescent="0.25">
      <c r="B104" t="s">
        <v>110</v>
      </c>
      <c r="C104">
        <f>(24-4)/20</f>
        <v>1</v>
      </c>
      <c r="D104">
        <f t="shared" ref="D104:F104" si="352">(24-4)/20</f>
        <v>1</v>
      </c>
      <c r="E104">
        <f t="shared" si="352"/>
        <v>1</v>
      </c>
      <c r="F104">
        <f t="shared" si="352"/>
        <v>1</v>
      </c>
      <c r="H104">
        <f>(24-4)/20</f>
        <v>1</v>
      </c>
      <c r="I104">
        <f t="shared" ref="I104:K104" si="353">(24-4)/20</f>
        <v>1</v>
      </c>
      <c r="J104">
        <f t="shared" si="353"/>
        <v>1</v>
      </c>
      <c r="K104">
        <f t="shared" si="353"/>
        <v>1</v>
      </c>
      <c r="R104">
        <f>(24-4)/20</f>
        <v>1</v>
      </c>
      <c r="S104">
        <f t="shared" ref="S104:U104" si="354">(24-4)/20</f>
        <v>1</v>
      </c>
      <c r="T104">
        <f t="shared" si="354"/>
        <v>1</v>
      </c>
      <c r="U104">
        <f t="shared" si="354"/>
        <v>1</v>
      </c>
      <c r="W104">
        <f>(24-4)/20</f>
        <v>1</v>
      </c>
      <c r="X104">
        <f t="shared" ref="X104:Z104" si="355">(24-4)/20</f>
        <v>1</v>
      </c>
      <c r="Y104">
        <f t="shared" si="355"/>
        <v>1</v>
      </c>
      <c r="Z104">
        <f t="shared" si="355"/>
        <v>1</v>
      </c>
      <c r="AG104">
        <f>(24-4)/20</f>
        <v>1</v>
      </c>
      <c r="AH104">
        <f t="shared" ref="AH104:AJ104" si="356">(24-4)/20</f>
        <v>1</v>
      </c>
      <c r="AI104">
        <f t="shared" si="356"/>
        <v>1</v>
      </c>
      <c r="AJ104">
        <f t="shared" si="356"/>
        <v>1</v>
      </c>
      <c r="AL104">
        <f>(24-4)/20</f>
        <v>1</v>
      </c>
      <c r="AM104">
        <f t="shared" ref="AM104:AO104" si="357">(24-4)/20</f>
        <v>1</v>
      </c>
      <c r="AN104">
        <f t="shared" si="357"/>
        <v>1</v>
      </c>
      <c r="AO104">
        <f t="shared" si="357"/>
        <v>1</v>
      </c>
      <c r="AZ104">
        <f>(24-17)/20</f>
        <v>0.35</v>
      </c>
      <c r="BA104">
        <f t="shared" ref="BA104:BC104" si="358">(24-17)/20</f>
        <v>0.35</v>
      </c>
      <c r="BB104">
        <f t="shared" si="358"/>
        <v>0.35</v>
      </c>
      <c r="BC104">
        <f t="shared" si="358"/>
        <v>0.35</v>
      </c>
    </row>
    <row r="105" spans="2:55" x14ac:dyDescent="0.25">
      <c r="B105" t="s">
        <v>111</v>
      </c>
      <c r="C105">
        <f>(24--18)/20</f>
        <v>2.1</v>
      </c>
      <c r="D105">
        <f t="shared" ref="D105:F105" si="359">(24--18)/20</f>
        <v>2.1</v>
      </c>
      <c r="E105">
        <f t="shared" si="359"/>
        <v>2.1</v>
      </c>
      <c r="F105">
        <f t="shared" si="359"/>
        <v>2.1</v>
      </c>
      <c r="H105">
        <f>(24--18)/20</f>
        <v>2.1</v>
      </c>
      <c r="I105">
        <f t="shared" ref="I105:K105" si="360">(24--18)/20</f>
        <v>2.1</v>
      </c>
      <c r="J105">
        <f t="shared" si="360"/>
        <v>2.1</v>
      </c>
      <c r="K105">
        <f t="shared" si="360"/>
        <v>2.1</v>
      </c>
      <c r="R105">
        <f>(24--18)/20</f>
        <v>2.1</v>
      </c>
      <c r="S105">
        <f t="shared" ref="S105:U105" si="361">(24--18)/20</f>
        <v>2.1</v>
      </c>
      <c r="T105">
        <f t="shared" si="361"/>
        <v>2.1</v>
      </c>
      <c r="U105">
        <f t="shared" si="361"/>
        <v>2.1</v>
      </c>
      <c r="W105">
        <f>(24--18)/20</f>
        <v>2.1</v>
      </c>
      <c r="X105">
        <f t="shared" ref="X105:Z105" si="362">(24--18)/20</f>
        <v>2.1</v>
      </c>
      <c r="Y105">
        <f t="shared" si="362"/>
        <v>2.1</v>
      </c>
      <c r="Z105">
        <f t="shared" si="362"/>
        <v>2.1</v>
      </c>
      <c r="AG105">
        <f>(24--18)/20</f>
        <v>2.1</v>
      </c>
      <c r="AH105">
        <f t="shared" ref="AH105:AJ105" si="363">(24--18)/20</f>
        <v>2.1</v>
      </c>
      <c r="AI105">
        <f t="shared" si="363"/>
        <v>2.1</v>
      </c>
      <c r="AJ105">
        <f t="shared" si="363"/>
        <v>2.1</v>
      </c>
      <c r="AL105">
        <f>(24--18)/20</f>
        <v>2.1</v>
      </c>
      <c r="AM105">
        <f t="shared" ref="AM105:AO105" si="364">(24--18)/20</f>
        <v>2.1</v>
      </c>
      <c r="AN105">
        <f t="shared" si="364"/>
        <v>2.1</v>
      </c>
      <c r="AO105">
        <f t="shared" si="364"/>
        <v>2.1</v>
      </c>
      <c r="AZ105">
        <f>(24--18)/20</f>
        <v>2.1</v>
      </c>
      <c r="BA105">
        <f t="shared" ref="BA105:BC105" si="365">(24--18)/20</f>
        <v>2.1</v>
      </c>
      <c r="BB105">
        <f t="shared" si="365"/>
        <v>2.1</v>
      </c>
      <c r="BC105">
        <f t="shared" si="365"/>
        <v>2.1</v>
      </c>
    </row>
    <row r="106" spans="2:55" x14ac:dyDescent="0.25">
      <c r="B106" t="s">
        <v>112</v>
      </c>
      <c r="C106">
        <v>1</v>
      </c>
      <c r="D106">
        <v>1</v>
      </c>
      <c r="E106">
        <v>1</v>
      </c>
      <c r="F106">
        <v>1</v>
      </c>
      <c r="H106">
        <v>1</v>
      </c>
      <c r="I106">
        <v>1</v>
      </c>
      <c r="J106">
        <v>1</v>
      </c>
      <c r="K106">
        <v>1</v>
      </c>
      <c r="R106">
        <v>1</v>
      </c>
      <c r="S106">
        <v>1</v>
      </c>
      <c r="T106">
        <v>1</v>
      </c>
      <c r="U106">
        <v>1</v>
      </c>
      <c r="W106">
        <v>1</v>
      </c>
      <c r="X106">
        <v>1</v>
      </c>
      <c r="Y106">
        <v>1</v>
      </c>
      <c r="Z106">
        <v>1</v>
      </c>
      <c r="AG106" s="3">
        <f>Cc_Constant*IF(Cc_Mult_rc="Y",AG104,1)*rVFresh*AG6/AG6</f>
        <v>0.43499999999999994</v>
      </c>
      <c r="AH106" s="3">
        <f>Cc_Constant*IF(Cc_Mult_rc="Y",AH104,1)*rVFresh*AH6/AH6</f>
        <v>0.435</v>
      </c>
      <c r="AI106" s="3">
        <f>Cc_Constant*IF(Cc_Mult_rc="Y",AI104,1)*rVFresh*AI6/AI6</f>
        <v>0.435</v>
      </c>
      <c r="AJ106" s="3">
        <f>Cc_Constant*IF(Cc_Mult_rc="Y",AJ104,1)*rVFresh*AJ6/AJ6</f>
        <v>0.435</v>
      </c>
      <c r="AL106" s="3">
        <f>Cc_Constant*IF(Cc_Mult_rc="Y",AL104,1)*rVFresh*AL6/AL6</f>
        <v>0.43500000000000005</v>
      </c>
      <c r="AM106" s="3">
        <f>Cc_Constant*IF(Cc_Mult_rc="Y",AM104,1)*rVFresh*AM6/AM6</f>
        <v>0.435</v>
      </c>
      <c r="AN106" s="3">
        <f>Cc_Constant*IF(Cc_Mult_rc="Y",AN104,1)*rVFresh*AN6/AN6</f>
        <v>0.435</v>
      </c>
      <c r="AO106" s="3">
        <f>Cc_Constant*IF(Cc_Mult_rc="Y",AO104,1)*rVFresh*AO6/AO6</f>
        <v>0.435</v>
      </c>
      <c r="AZ106" s="3">
        <f>Cc_Constant*IF(Cc_Mult_rc="Y",AZ104,1)*rVFresh*AZ6/AZ6</f>
        <v>0.43500000000000005</v>
      </c>
      <c r="BA106" s="3">
        <f>Cc_Constant*IF(Cc_Mult_rc="Y",BA104,1)*rVFresh*BA6/BA6</f>
        <v>0.435</v>
      </c>
      <c r="BB106" s="3">
        <f>Cc_Constant*IF(Cc_Mult_rc="Y",BB104,1)*rVFresh*BB6/BB6</f>
        <v>0.435</v>
      </c>
      <c r="BC106" s="3">
        <f>Cc_Constant*IF(Cc_Mult_rc="Y",BC104,1)*rVFresh*BC6/BC6</f>
        <v>0.435</v>
      </c>
    </row>
    <row r="107" spans="2:55" x14ac:dyDescent="0.25">
      <c r="B107" t="s">
        <v>113</v>
      </c>
      <c r="C107">
        <v>1</v>
      </c>
      <c r="D107">
        <v>1</v>
      </c>
      <c r="E107">
        <v>1</v>
      </c>
      <c r="F107">
        <v>1</v>
      </c>
      <c r="H107">
        <v>1</v>
      </c>
      <c r="I107">
        <v>1</v>
      </c>
      <c r="J107">
        <v>1</v>
      </c>
      <c r="K107">
        <v>1</v>
      </c>
      <c r="R107">
        <v>1</v>
      </c>
      <c r="S107">
        <v>1</v>
      </c>
      <c r="T107">
        <v>1</v>
      </c>
      <c r="U107">
        <v>1</v>
      </c>
      <c r="W107">
        <v>1</v>
      </c>
      <c r="X107">
        <v>1</v>
      </c>
      <c r="Y107">
        <v>1</v>
      </c>
      <c r="Z107">
        <v>1</v>
      </c>
      <c r="AG107" s="3">
        <f>Cc_Constant*IF(Cc_Mult_rc="Y",AG105,1)*(1-rVFresh)*AG11/AG11</f>
        <v>0.43500000000000005</v>
      </c>
      <c r="AH107" s="3">
        <f>Cc_Constant*IF(Cc_Mult_rc="Y",AH105,1)*(1-rVFresh)*AH11/AH11</f>
        <v>0.43499999999999994</v>
      </c>
      <c r="AI107" s="3">
        <f>Cc_Constant*IF(Cc_Mult_rc="Y",AI105,1)*(1-rVFresh)*AI11/AI11</f>
        <v>0.435</v>
      </c>
      <c r="AJ107" s="3">
        <f>Cc_Constant*IF(Cc_Mult_rc="Y",AJ105,1)*(1-rVFresh)*AJ11/AJ11</f>
        <v>0.43500000000000005</v>
      </c>
      <c r="AL107" s="3">
        <f>Cc_Constant*IF(Cc_Mult_rc="Y",AL105,1)*(1-rVFresh)*AL11/AL11</f>
        <v>0.435</v>
      </c>
      <c r="AM107" s="3">
        <f>Cc_Constant*IF(Cc_Mult_rc="Y",AM105,1)*(1-rVFresh)*AM11/AM11</f>
        <v>0.43500000000000005</v>
      </c>
      <c r="AN107" s="3">
        <f>Cc_Constant*IF(Cc_Mult_rc="Y",AN105,1)*(1-rVFresh)*AN11/AN11</f>
        <v>0.435</v>
      </c>
      <c r="AO107" s="3">
        <f>Cc_Constant*IF(Cc_Mult_rc="Y",AO105,1)*(1-rVFresh)*AO11/AO11</f>
        <v>0.435</v>
      </c>
      <c r="AZ107" s="3">
        <f>Cc_Constant*IF(Cc_Mult_rc="Y",AZ105,1)*(1-rVFresh)*AZ11/AZ11</f>
        <v>0.435</v>
      </c>
      <c r="BA107" s="3">
        <f>Cc_Constant*IF(Cc_Mult_rc="Y",BA105,1)*(1-rVFresh)*BA11/BA11</f>
        <v>0.43500000000000005</v>
      </c>
      <c r="BB107" s="3">
        <f>Cc_Constant*IF(Cc_Mult_rc="Y",BB105,1)*(1-rVFresh)*BB11/BB11</f>
        <v>0.435</v>
      </c>
      <c r="BC107" s="3">
        <f>Cc_Constant*IF(Cc_Mult_rc="Y",BC105,1)*(1-rVFresh)*BC11/BC11</f>
        <v>0.435</v>
      </c>
    </row>
    <row r="108" spans="2:55" x14ac:dyDescent="0.25">
      <c r="B108" t="s">
        <v>114</v>
      </c>
      <c r="C108" s="3">
        <f>1*(1*IF(bBuiltIn="Y",1.04,1)*C106*(NFresh/C6+C104*MFresh))</f>
        <v>1.8493326925953499</v>
      </c>
      <c r="D108" s="3">
        <f>1*(1*IF(bBuiltIn="Y",1.04,1)*D106*(NFresh/D6+D104*MFresh))</f>
        <v>0.80069211103620908</v>
      </c>
      <c r="E108" s="3">
        <f>1*(1*IF(bBuiltIn="Y",1.04,1)*E106*(NFresh/E6+E104*MFresh))</f>
        <v>0.52170886386672</v>
      </c>
      <c r="F108" s="3">
        <f>1*(1*IF(bBuiltIn="Y",1.04,1)*F106*(NFresh/F6+F104*MFresh))</f>
        <v>0.34720243266724593</v>
      </c>
      <c r="H108" s="3">
        <f>1*(1*IF(bBuiltIn="Y",1.04,1)*H106*(NFresh/H6+H104*MFresh))</f>
        <v>1.7386972608711737</v>
      </c>
      <c r="I108" s="3">
        <f>1*(1*IF(bBuiltIn="Y",1.04,1)*I106*(NFresh/I6+I104*MFresh))</f>
        <v>0.78080750025273038</v>
      </c>
      <c r="J108" s="3">
        <f>1*(1*IF(bBuiltIn="Y",1.04,1)*J106*(NFresh/J6+J104*MFresh))</f>
        <v>0.49994219653179184</v>
      </c>
      <c r="K108" s="3">
        <f>1*(1*IF(bBuiltIn="Y",1.04,1)*K106*(NFresh/K6+K104*MFresh))</f>
        <v>0.33309093114371224</v>
      </c>
      <c r="R108" s="3">
        <f>1*(IF(bAutoDef="Y",1.2,1)*IF(bBuiltIn="Y",1.1,1)*R107*(NFrozen/R6+R105*MFrozen))</f>
        <v>1.7174390243902438</v>
      </c>
      <c r="S108" s="3">
        <f>1*(IF(bAutoDef="Y",1.2,1)*IF(bBuiltIn="Y",1.1,1)*S107*(NFrozen/S6+S105*MFrozen))</f>
        <v>1.3529717130143597</v>
      </c>
      <c r="T108" s="3">
        <f>1*(IF(bAutoDef="Y",1.2,1)*IF(bBuiltIn="Y",1.1,1)*T107*(NFrozen/T6+T105*MFrozen))</f>
        <v>0.82427320071563948</v>
      </c>
      <c r="U108" s="3">
        <f>1*(IF(bAutoDef="Y",1.2,1)*IF(bBuiltIn="Y",1.1,1)*U107*(NFrozen/U6+U105*MFrozen))</f>
        <v>0.63894731208238964</v>
      </c>
      <c r="W108" s="3">
        <f>1*(IF(bAutoDef="Y",1.2,1)*IF(bBuiltIn="Y",1.1,1)*W107*(NFrozen/W6+W105*MFrozen))</f>
        <v>1.6218181818181816</v>
      </c>
      <c r="X108" s="3">
        <f>1*(IF(bAutoDef="Y",1.2,1)*IF(bBuiltIn="Y",1.1,1)*X107*(NFrozen/X6+X105*MFrozen))</f>
        <v>1.2896340884628745</v>
      </c>
      <c r="Y108" s="3">
        <f>1*(IF(bAutoDef="Y",1.2,1)*IF(bBuiltIn="Y",1.1,1)*Y107*(NFrozen/Y6+Y105*MFrozen))</f>
        <v>0.75060606060606072</v>
      </c>
      <c r="Z108" s="3">
        <f>1*(IF(bAutoDef="Y",1.2,1)*IF(bBuiltIn="Y",1.1,1)*Z107*(NFrozen/Z6+Z105*MFrozen))</f>
        <v>0.57488700564971751</v>
      </c>
      <c r="AG108" s="3">
        <f>(1*IF(bBuiltIn="Y",1.04,1)*AG106*(NFresh/(rVFresh*AG6)+AG104*MFresh)+(IF(bAutoDef="Y",1.2,1)*IF(bBuiltIn="Y",1.1,1)*AG107*(NFrozen/((1-rVFresh)*AG6)+AG105*MFrozen)))</f>
        <v>1.1579724960876367</v>
      </c>
      <c r="AH108" s="3">
        <f>(1*IF(bBuiltIn="Y",1.04,1)*AH106*(NFresh/(rVFresh*AH6)+AH104*MFresh)+(IF(bAutoDef="Y",1.2,1)*IF(bBuiltIn="Y",1.1,1)*AH107*(NFrozen/((1-rVFresh)*AH6)+AH105*MFrozen)))</f>
        <v>1.009546351476061</v>
      </c>
      <c r="AI108" s="3">
        <f>(1*IF(bBuiltIn="Y",1.04,1)*AI106*(NFresh/(rVFresh*AI6)+AI104*MFresh)+(IF(bAutoDef="Y",1.2,1)*IF(bBuiltIn="Y",1.1,1)*AI107*(NFrozen/((1-rVFresh)*AI6)+AI105*MFrozen)))</f>
        <v>0.66625821595425716</v>
      </c>
      <c r="AJ108" s="3">
        <f>(1*IF(bBuiltIn="Y",1.04,1)*AJ106*(NFresh/(rVFresh*AJ6)+AJ104*MFresh)+(IF(bAutoDef="Y",1.2,1)*IF(bBuiltIn="Y",1.1,1)*AJ107*(NFrozen/((1-rVFresh)*AJ6)+AJ105*MFrozen)))</f>
        <v>0.43985465433956444</v>
      </c>
      <c r="AL108" s="3">
        <f>(1*IF(bBuiltIn="Y",1.04,1)*AL106*(NFresh/(rVFresh*AL6)+AL104*MFresh)+(IF(bAutoDef="Y",1.2,1)*IF(bBuiltIn="Y",1.1,1)*AL107*(NFrozen/((1-rVFresh)*AL6)+AL105*MFrozen)))</f>
        <v>1.1334580706659887</v>
      </c>
      <c r="AM108" s="3">
        <f>(1*IF(bBuiltIn="Y",1.04,1)*AM106*(NFresh/(rVFresh*AM6)+AM104*MFresh)+(IF(bAutoDef="Y",1.2,1)*IF(bBuiltIn="Y",1.1,1)*AM107*(NFrozen/((1-rVFresh)*AM6)+AM105*MFrozen)))</f>
        <v>0.94115223218593602</v>
      </c>
      <c r="AN108" s="3">
        <f>(1*IF(bBuiltIn="Y",1.04,1)*AN106*(NFresh/(rVFresh*AN6)+AN104*MFresh)+(IF(bAutoDef="Y",1.2,1)*IF(bBuiltIn="Y",1.1,1)*AN107*(NFrozen/((1-rVFresh)*AN6)+AN105*MFrozen)))</f>
        <v>0.65869061420762531</v>
      </c>
      <c r="AO108" s="3">
        <f>(1*IF(bBuiltIn="Y",1.04,1)*AO106*(NFresh/(rVFresh*AO6)+AO104*MFresh)+(IF(bAutoDef="Y",1.2,1)*IF(bBuiltIn="Y",1.1,1)*AO107*(NFrozen/((1-rVFresh)*AO6)+AO105*MFrozen)))</f>
        <v>0.49544309761311023</v>
      </c>
      <c r="AZ108" s="3">
        <f>(1*IF(bBuiltIn="Y",1.04,1)*AZ106*(NFresh/(rVFresh*AZ6)+AZ104*MFresh)+(IF(bAutoDef="Y",1.2,1)*IF(bBuiltIn="Y",1.1,1)*AZ107*(NFrozen/((1-rVFresh)*AZ6)+AZ105*MFrozen)))</f>
        <v>1.0967005706659887</v>
      </c>
      <c r="BA108" s="3">
        <f>(1*IF(bBuiltIn="Y",1.04,1)*BA106*(NFresh/(rVFresh*BA6)+BA104*MFresh)+(IF(bAutoDef="Y",1.2,1)*IF(bBuiltIn="Y",1.1,1)*BA107*(NFrozen/((1-rVFresh)*BA6)+BA105*MFrozen)))</f>
        <v>0.90439473218593602</v>
      </c>
      <c r="BB108" s="3">
        <f>(1*IF(bBuiltIn="Y",1.04,1)*BB106*(NFresh/(rVFresh*BB6)+BB104*MFresh)+(IF(bAutoDef="Y",1.2,1)*IF(bBuiltIn="Y",1.1,1)*BB107*(NFrozen/((1-rVFresh)*BB6)+BB105*MFrozen)))</f>
        <v>0.62193311420762531</v>
      </c>
      <c r="BC108" s="3">
        <f>(1*IF(bBuiltIn="Y",1.04,1)*BC106*(NFresh/(rVFresh*BC6)+BC104*MFresh)+(IF(bAutoDef="Y",1.2,1)*IF(bBuiltIn="Y",1.1,1)*BC107*(NFrozen/((1-rVFresh)*BC6)+BC105*MFrozen)))</f>
        <v>0.45868559761311023</v>
      </c>
    </row>
    <row r="109" spans="2:55" x14ac:dyDescent="0.25">
      <c r="B109" t="s">
        <v>81</v>
      </c>
      <c r="C109" s="4">
        <f>C108*C6</f>
        <v>77.443972559999992</v>
      </c>
      <c r="D109" s="4">
        <f>D108*D6</f>
        <v>85.955732960000006</v>
      </c>
      <c r="E109" s="4">
        <f>E108*E6</f>
        <v>95.895297920000004</v>
      </c>
      <c r="F109" s="4">
        <f>F108*F6</f>
        <v>115.09344</v>
      </c>
      <c r="H109" s="4">
        <f>H108*H6</f>
        <v>77.818372559999986</v>
      </c>
      <c r="I109" s="4">
        <f>I108*I6</f>
        <v>86.382132959999993</v>
      </c>
      <c r="J109" s="4">
        <f>J108*J6</f>
        <v>97.301249999999996</v>
      </c>
      <c r="K109" s="4">
        <f>K108*K6</f>
        <v>118.08772999999999</v>
      </c>
      <c r="R109" s="4">
        <f>R108*R6</f>
        <v>140.82999999999998</v>
      </c>
      <c r="S109" s="4">
        <f>S108*S6</f>
        <v>149.89979500000001</v>
      </c>
      <c r="T109" s="4">
        <f>T108*T6</f>
        <v>186.13077999999999</v>
      </c>
      <c r="U109" s="4">
        <f>U108*U6</f>
        <v>226.82373999999999</v>
      </c>
      <c r="W109" s="4">
        <f>W108*W6</f>
        <v>142.72</v>
      </c>
      <c r="X109" s="4">
        <f>X108*X6</f>
        <v>152.16779500000001</v>
      </c>
      <c r="Y109" s="4">
        <f>Y108*Y6</f>
        <v>198.16</v>
      </c>
      <c r="Z109" s="4">
        <f>Z108*Z6</f>
        <v>254.38749999999996</v>
      </c>
      <c r="AG109" s="4">
        <f>AG108*AG6</f>
        <v>195.34532820000001</v>
      </c>
      <c r="AH109" s="4">
        <f>AH108*AH6</f>
        <v>201.28537064999998</v>
      </c>
      <c r="AI109" s="4">
        <f>AI108*AI6</f>
        <v>229.31541779999998</v>
      </c>
      <c r="AJ109" s="4">
        <f>AJ108*AJ6</f>
        <v>290.5638060375</v>
      </c>
      <c r="AL109" s="4">
        <f>AL108*AL6</f>
        <v>196.19705820000001</v>
      </c>
      <c r="AM109" s="4">
        <f>AM108*AM6</f>
        <v>204.81637222500004</v>
      </c>
      <c r="AN109" s="4">
        <f>AN108*AN6</f>
        <v>230.39943779999996</v>
      </c>
      <c r="AO109" s="4">
        <f>AO108*AO6</f>
        <v>267.01608479999999</v>
      </c>
      <c r="AZ109" s="4">
        <f>AZ108*AZ6</f>
        <v>189.83448198000002</v>
      </c>
      <c r="BA109" s="4">
        <f>BA108*BA6</f>
        <v>196.81709480250004</v>
      </c>
      <c r="BB109" s="4">
        <f>BB108*BB6</f>
        <v>217.54225241999998</v>
      </c>
      <c r="BC109" s="4">
        <f>BC108*BC6</f>
        <v>247.20585072</v>
      </c>
    </row>
    <row r="110" spans="2:55" x14ac:dyDescent="0.25">
      <c r="B110" t="s">
        <v>115</v>
      </c>
      <c r="C110" s="3">
        <f>C109/C54</f>
        <v>0.30399121240249682</v>
      </c>
      <c r="D110" s="3">
        <f>D109/D54</f>
        <v>0.31833927734800288</v>
      </c>
      <c r="E110" s="3">
        <f>E109/E54</f>
        <v>0.33316907707973209</v>
      </c>
      <c r="F110" s="3">
        <f>F109/F54</f>
        <v>0.35717048545779567</v>
      </c>
      <c r="H110" s="3">
        <f>H109/H54</f>
        <v>0.30465836528868312</v>
      </c>
      <c r="I110" s="3">
        <f>I109/I54</f>
        <v>0.31901552477793182</v>
      </c>
      <c r="J110" s="3">
        <f>J109/J54</f>
        <v>0.33511984125924915</v>
      </c>
      <c r="K110" s="3">
        <f>K109/K54</f>
        <v>0.36045942295841849</v>
      </c>
      <c r="R110" s="3">
        <f>R109/R54</f>
        <v>0.3434662754066391</v>
      </c>
      <c r="S110" s="3">
        <f>S109/S54</f>
        <v>0.33807474371237234</v>
      </c>
      <c r="T110" s="3">
        <f>T109/T54</f>
        <v>0.32276142443105826</v>
      </c>
      <c r="U110" s="3">
        <f>U109/U54</f>
        <v>0.31226289046289751</v>
      </c>
      <c r="W110" s="3">
        <f>W109/W54</f>
        <v>0.3422715975008801</v>
      </c>
      <c r="X110" s="3">
        <f>X109/X54</f>
        <v>0.33685101841599074</v>
      </c>
      <c r="Y110" s="3">
        <f>Y109/Y54</f>
        <v>0.31913091260232124</v>
      </c>
      <c r="Z110" s="3">
        <f>Z109/Z54</f>
        <v>0.307308803292618</v>
      </c>
      <c r="AG110" s="3">
        <f>AG109/AG54</f>
        <v>0.38344662313433098</v>
      </c>
      <c r="AH110" s="3">
        <f>AH109/AH54</f>
        <v>0.36798143771773284</v>
      </c>
      <c r="AI110" s="3">
        <f>AI109/AI54</f>
        <v>0.31664488068521596</v>
      </c>
      <c r="AJ110" s="3">
        <f>AJ109/AJ54</f>
        <v>0.26143612520800635</v>
      </c>
      <c r="AL110" s="3">
        <f>AL109/AL54</f>
        <v>0.38109054596688163</v>
      </c>
      <c r="AM110" s="3">
        <f>AM109/AM54</f>
        <v>0.35975514887328025</v>
      </c>
      <c r="AN110" s="3">
        <f>AN109/AN54</f>
        <v>0.31515937158745533</v>
      </c>
      <c r="AO110" s="3">
        <f>AO109/AO54</f>
        <v>0.27740599523991516</v>
      </c>
      <c r="AZ110" s="3">
        <f>AZ109/AZ54</f>
        <v>0.4000879486905119</v>
      </c>
      <c r="BA110" s="3">
        <f>BA109/BA54</f>
        <v>0.37952082311543778</v>
      </c>
      <c r="BB110" s="3">
        <f>BB109/BB54</f>
        <v>0.33492655203735205</v>
      </c>
      <c r="BC110" s="3">
        <f>BC109/BC54</f>
        <v>0.29537630707589779</v>
      </c>
    </row>
    <row r="112" spans="2:55" x14ac:dyDescent="0.25">
      <c r="B112" t="s">
        <v>119</v>
      </c>
      <c r="C112" s="7">
        <f>(C108-C56)/C56</f>
        <v>9.3660620469833925E-3</v>
      </c>
      <c r="D112" s="7">
        <f t="shared" ref="D112:F112" si="366">(D108-D56)/D56</f>
        <v>3.2540113710365026E-2</v>
      </c>
      <c r="E112" s="7">
        <f t="shared" si="366"/>
        <v>7.283940200029769E-2</v>
      </c>
      <c r="F112" s="7">
        <f t="shared" si="366"/>
        <v>8.8209793984160692E-2</v>
      </c>
      <c r="H112" s="7">
        <f>(H108-H56)/H56</f>
        <v>3.3619488336955193E-3</v>
      </c>
      <c r="I112" s="7">
        <f t="shared" ref="I112:K112" si="367">(I108-I56)/I56</f>
        <v>2.329466006146395E-2</v>
      </c>
      <c r="J112" s="7">
        <f t="shared" si="367"/>
        <v>2.0712649668638502E-2</v>
      </c>
      <c r="K112" s="7">
        <f t="shared" si="367"/>
        <v>3.1649319665131598E-2</v>
      </c>
      <c r="R112" s="7">
        <f>(R108-R56)/R56</f>
        <v>1.2983651913846329E-2</v>
      </c>
      <c r="S112" s="7">
        <f t="shared" ref="S112:U112" si="368">(S108-S56)/S56</f>
        <v>6.9912676216298417E-2</v>
      </c>
      <c r="T112" s="7">
        <f t="shared" si="368"/>
        <v>2.905964579698548E-2</v>
      </c>
      <c r="U112" s="7">
        <f t="shared" si="368"/>
        <v>0.15673920611324738</v>
      </c>
      <c r="W112" s="7">
        <f>(W108-W56)/W56</f>
        <v>1.1611851061184605E-2</v>
      </c>
      <c r="X112" s="7">
        <f t="shared" ref="X112:Z112" si="369">(X108-X56)/X56</f>
        <v>2.9540659580211636E-2</v>
      </c>
      <c r="Y112" s="7">
        <f t="shared" si="369"/>
        <v>-6.8648539056366045E-2</v>
      </c>
      <c r="Z112" s="7">
        <f t="shared" si="369"/>
        <v>1.7414891963456629E-2</v>
      </c>
      <c r="AG112" s="7">
        <f>(AG108-AG56)/AG56</f>
        <v>-0.17530845481569052</v>
      </c>
      <c r="AH112" s="7">
        <f t="shared" ref="AH112:AJ112" si="370">(AH108-AH56)/AH56</f>
        <v>-0.1280204201466616</v>
      </c>
      <c r="AI112" s="7">
        <f t="shared" si="370"/>
        <v>-0.13907595584512064</v>
      </c>
      <c r="AJ112" s="7">
        <f t="shared" si="370"/>
        <v>-2.9167522555718636E-2</v>
      </c>
      <c r="AL112" s="7">
        <f>(AL108-AL56)/AL56</f>
        <v>-5.1033366085986083E-2</v>
      </c>
      <c r="AM112" s="7">
        <f t="shared" ref="AM112:AO112" si="371">(AM108-AM56)/AM56</f>
        <v>-5.733230188210215E-2</v>
      </c>
      <c r="AN112" s="7">
        <f t="shared" si="371"/>
        <v>-6.9787878886400492E-2</v>
      </c>
      <c r="AO112" s="7">
        <f t="shared" si="371"/>
        <v>-7.0991675094181569E-2</v>
      </c>
      <c r="AZ112" s="7">
        <f>(AZ108-AZ56)/AZ56</f>
        <v>0.54562126832205304</v>
      </c>
      <c r="BA112" s="7">
        <f t="shared" ref="BA112:BC112" si="372">(BA108-BA56)/BA56</f>
        <v>0.56118581910322851</v>
      </c>
      <c r="BB112" s="7">
        <f t="shared" si="372"/>
        <v>0.51644446775844333</v>
      </c>
      <c r="BC112" s="7">
        <f t="shared" si="372"/>
        <v>0.46257879250487433</v>
      </c>
    </row>
    <row r="113" spans="3:32" x14ac:dyDescent="0.25">
      <c r="C113" s="7"/>
    </row>
    <row r="114" spans="3:32" x14ac:dyDescent="0.25">
      <c r="AA114" s="6"/>
      <c r="AF114" s="6"/>
    </row>
  </sheetData>
  <conditionalFormatting sqref="AL10:AO10">
    <cfRule type="expression" dxfId="1" priority="2">
      <formula>ABS(AL10-$AI$1)&gt;0.001</formula>
    </cfRule>
  </conditionalFormatting>
  <conditionalFormatting sqref="AZ10:BC10">
    <cfRule type="expression" dxfId="0" priority="1">
      <formula>ABS(AZ10-$AI$1)&gt;0.001</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36"/>
  <sheetViews>
    <sheetView workbookViewId="0">
      <selection activeCell="M53" sqref="M53"/>
    </sheetView>
  </sheetViews>
  <sheetFormatPr defaultRowHeight="15" x14ac:dyDescent="0.25"/>
  <sheetData>
    <row r="1" spans="2:72" x14ac:dyDescent="0.25">
      <c r="C1" t="s">
        <v>165</v>
      </c>
      <c r="G1" t="s">
        <v>164</v>
      </c>
      <c r="I1" t="s">
        <v>163</v>
      </c>
    </row>
    <row r="2" spans="2:72" x14ac:dyDescent="0.25">
      <c r="C2" s="57"/>
      <c r="D2" t="s">
        <v>140</v>
      </c>
      <c r="E2" t="s">
        <v>141</v>
      </c>
      <c r="G2" t="s">
        <v>142</v>
      </c>
      <c r="I2" t="s">
        <v>143</v>
      </c>
      <c r="J2" t="s">
        <v>95</v>
      </c>
      <c r="K2" t="s">
        <v>96</v>
      </c>
    </row>
    <row r="3" spans="2:72" x14ac:dyDescent="0.25">
      <c r="B3" s="6" t="s">
        <v>144</v>
      </c>
      <c r="C3" s="58" t="s">
        <v>96</v>
      </c>
      <c r="D3" s="59">
        <f>IF(C3="Y",1.04,1)</f>
        <v>1</v>
      </c>
      <c r="E3" s="59">
        <f>IF(C3="Y",1.1,1)</f>
        <v>1</v>
      </c>
      <c r="G3">
        <f>IF(C3="Y",1.2,1)</f>
        <v>1</v>
      </c>
      <c r="I3">
        <v>1</v>
      </c>
      <c r="J3">
        <v>0.23300000000000001</v>
      </c>
      <c r="K3">
        <v>245</v>
      </c>
    </row>
    <row r="4" spans="2:72" x14ac:dyDescent="0.25">
      <c r="B4" s="6" t="s">
        <v>117</v>
      </c>
      <c r="C4" s="58" t="s">
        <v>96</v>
      </c>
      <c r="D4" s="59">
        <v>1</v>
      </c>
      <c r="E4" s="59">
        <f>IF(C4="Y",1.2,1)</f>
        <v>1</v>
      </c>
      <c r="G4">
        <f>IF(C4="Y",1.2,1)</f>
        <v>1</v>
      </c>
      <c r="I4">
        <v>2</v>
      </c>
      <c r="J4">
        <v>0.23300000000000001</v>
      </c>
      <c r="K4">
        <v>245</v>
      </c>
    </row>
    <row r="5" spans="2:72" x14ac:dyDescent="0.25">
      <c r="B5" s="6" t="s">
        <v>145</v>
      </c>
      <c r="D5" s="60">
        <v>1</v>
      </c>
      <c r="E5" s="60"/>
      <c r="I5">
        <v>3</v>
      </c>
      <c r="J5">
        <v>0.23300000000000001</v>
      </c>
      <c r="K5">
        <v>245</v>
      </c>
    </row>
    <row r="6" spans="2:72" x14ac:dyDescent="0.25">
      <c r="B6" s="6" t="s">
        <v>146</v>
      </c>
      <c r="D6" s="60"/>
      <c r="E6" s="60"/>
      <c r="I6">
        <v>4</v>
      </c>
      <c r="J6">
        <v>0.64300000000000002</v>
      </c>
      <c r="K6">
        <v>191</v>
      </c>
    </row>
    <row r="7" spans="2:72" x14ac:dyDescent="0.25">
      <c r="B7" s="6" t="s">
        <v>147</v>
      </c>
      <c r="D7" s="59">
        <f>NFresh</f>
        <v>72</v>
      </c>
      <c r="E7" s="59">
        <f>NFrozen</f>
        <v>115</v>
      </c>
      <c r="I7">
        <v>5</v>
      </c>
      <c r="J7">
        <v>0.45</v>
      </c>
      <c r="K7">
        <v>245</v>
      </c>
    </row>
    <row r="8" spans="2:72" x14ac:dyDescent="0.25">
      <c r="B8" s="6" t="s">
        <v>148</v>
      </c>
      <c r="D8" s="59">
        <f>MFresh</f>
        <v>0.13</v>
      </c>
      <c r="E8" s="59">
        <f>MFrozen</f>
        <v>0.15</v>
      </c>
      <c r="I8">
        <v>6</v>
      </c>
      <c r="J8">
        <v>0.77700000000000002</v>
      </c>
      <c r="K8">
        <v>303</v>
      </c>
    </row>
    <row r="9" spans="2:72" x14ac:dyDescent="0.25">
      <c r="B9" s="6" t="s">
        <v>162</v>
      </c>
      <c r="C9">
        <f>Cc_Constant</f>
        <v>0.87</v>
      </c>
      <c r="I9">
        <v>7</v>
      </c>
      <c r="J9">
        <v>0.77700000000000002</v>
      </c>
      <c r="K9">
        <v>303</v>
      </c>
    </row>
    <row r="10" spans="2:72" x14ac:dyDescent="0.25">
      <c r="B10" s="6" t="s">
        <v>149</v>
      </c>
      <c r="D10" s="60">
        <v>5</v>
      </c>
      <c r="E10" s="60">
        <v>-18</v>
      </c>
      <c r="I10">
        <v>8</v>
      </c>
      <c r="J10">
        <v>0.53900000000000003</v>
      </c>
      <c r="K10">
        <v>315</v>
      </c>
    </row>
    <row r="11" spans="2:72" x14ac:dyDescent="0.25">
      <c r="B11" s="6" t="s">
        <v>150</v>
      </c>
      <c r="D11" s="59">
        <f>(24-D10)/20</f>
        <v>0.95</v>
      </c>
      <c r="E11" s="59">
        <f>(24-E10)/20</f>
        <v>2.1</v>
      </c>
      <c r="I11">
        <v>9</v>
      </c>
      <c r="J11">
        <v>0.47199999999999998</v>
      </c>
      <c r="K11">
        <v>286</v>
      </c>
    </row>
    <row r="12" spans="2:72" x14ac:dyDescent="0.25">
      <c r="B12" s="6" t="s">
        <v>151</v>
      </c>
      <c r="C12" s="58" t="s">
        <v>96</v>
      </c>
      <c r="G12" s="59">
        <f>IF(C12="T",1.2,IF(C12="ST",1.1,1))</f>
        <v>1</v>
      </c>
    </row>
    <row r="13" spans="2:72" x14ac:dyDescent="0.25">
      <c r="B13" s="6" t="s">
        <v>152</v>
      </c>
      <c r="C13" s="61" t="s">
        <v>96</v>
      </c>
      <c r="G13">
        <f>IF(C13="Y",50,0)</f>
        <v>0</v>
      </c>
    </row>
    <row r="14" spans="2:72" x14ac:dyDescent="0.25">
      <c r="B14" s="6"/>
      <c r="C14" s="61"/>
    </row>
    <row r="15" spans="2:72" x14ac:dyDescent="0.25">
      <c r="B15" t="s">
        <v>143</v>
      </c>
      <c r="C15">
        <v>1</v>
      </c>
      <c r="E15" t="s">
        <v>95</v>
      </c>
      <c r="F15">
        <f>INDEX($J$3:$J$11,C15)</f>
        <v>0.23300000000000001</v>
      </c>
      <c r="H15" t="s">
        <v>143</v>
      </c>
      <c r="I15">
        <v>8</v>
      </c>
      <c r="K15" t="s">
        <v>95</v>
      </c>
      <c r="L15">
        <f>INDEX($J$3:$J$11,I15)</f>
        <v>0.53900000000000003</v>
      </c>
      <c r="N15" t="s">
        <v>143</v>
      </c>
      <c r="O15">
        <v>9</v>
      </c>
      <c r="Q15" t="s">
        <v>95</v>
      </c>
      <c r="R15">
        <f>INDEX($J$3:$J$11,O15)</f>
        <v>0.47199999999999998</v>
      </c>
      <c r="T15" t="s">
        <v>153</v>
      </c>
      <c r="W15" t="s">
        <v>143</v>
      </c>
      <c r="X15">
        <v>7</v>
      </c>
      <c r="Z15" t="s">
        <v>95</v>
      </c>
      <c r="AA15">
        <f>INDEX($J$3:$J$11,X15)</f>
        <v>0.77700000000000002</v>
      </c>
      <c r="AO15" t="s">
        <v>170</v>
      </c>
      <c r="AP15" t="s">
        <v>96</v>
      </c>
      <c r="AY15" t="b">
        <v>1</v>
      </c>
      <c r="BI15" t="b">
        <v>1</v>
      </c>
    </row>
    <row r="16" spans="2:72" x14ac:dyDescent="0.25">
      <c r="E16" t="s">
        <v>96</v>
      </c>
      <c r="F16">
        <f>INDEX($K$3:$K$11,C15)</f>
        <v>245</v>
      </c>
      <c r="K16" t="s">
        <v>96</v>
      </c>
      <c r="L16">
        <f>INDEX($K$3:$K$11,I15)</f>
        <v>315</v>
      </c>
      <c r="Q16" t="s">
        <v>96</v>
      </c>
      <c r="R16">
        <f>INDEX($K$3:$K$11,O15)</f>
        <v>286</v>
      </c>
      <c r="U16" t="s">
        <v>154</v>
      </c>
      <c r="Z16" t="s">
        <v>96</v>
      </c>
      <c r="AA16">
        <f>INDEX($K$3:$K$11,X15)</f>
        <v>303</v>
      </c>
      <c r="AE16" t="s">
        <v>155</v>
      </c>
      <c r="AO16" t="s">
        <v>114</v>
      </c>
      <c r="AY16" t="s">
        <v>156</v>
      </c>
      <c r="BI16" t="s">
        <v>157</v>
      </c>
      <c r="BR16" s="3"/>
      <c r="BT16" t="s">
        <v>171</v>
      </c>
    </row>
    <row r="17" spans="2:77" x14ac:dyDescent="0.25">
      <c r="BR17" s="3"/>
    </row>
    <row r="18" spans="2:77" x14ac:dyDescent="0.25">
      <c r="B18" t="s">
        <v>0</v>
      </c>
      <c r="C18" t="s">
        <v>114</v>
      </c>
      <c r="D18" t="s">
        <v>158</v>
      </c>
      <c r="E18" t="s">
        <v>155</v>
      </c>
      <c r="F18" t="s">
        <v>159</v>
      </c>
      <c r="H18" t="s">
        <v>0</v>
      </c>
      <c r="I18" t="s">
        <v>114</v>
      </c>
      <c r="J18" t="s">
        <v>158</v>
      </c>
      <c r="K18" t="s">
        <v>155</v>
      </c>
      <c r="L18" t="s">
        <v>159</v>
      </c>
      <c r="N18" t="s">
        <v>0</v>
      </c>
      <c r="O18" t="s">
        <v>114</v>
      </c>
      <c r="P18" t="s">
        <v>158</v>
      </c>
      <c r="Q18" t="s">
        <v>155</v>
      </c>
      <c r="R18" t="s">
        <v>159</v>
      </c>
      <c r="T18" t="s">
        <v>160</v>
      </c>
      <c r="U18">
        <v>20</v>
      </c>
      <c r="V18">
        <v>40</v>
      </c>
      <c r="W18">
        <v>60</v>
      </c>
      <c r="X18">
        <v>80</v>
      </c>
      <c r="Y18">
        <v>100</v>
      </c>
      <c r="Z18">
        <v>120</v>
      </c>
      <c r="AA18">
        <v>140</v>
      </c>
      <c r="AB18">
        <v>160</v>
      </c>
      <c r="AC18">
        <v>180</v>
      </c>
      <c r="AE18">
        <f t="shared" ref="AE18:AM18" si="0">U18</f>
        <v>20</v>
      </c>
      <c r="AF18">
        <f t="shared" si="0"/>
        <v>40</v>
      </c>
      <c r="AG18">
        <f t="shared" si="0"/>
        <v>60</v>
      </c>
      <c r="AH18">
        <f t="shared" si="0"/>
        <v>80</v>
      </c>
      <c r="AI18">
        <f t="shared" si="0"/>
        <v>100</v>
      </c>
      <c r="AJ18">
        <f t="shared" si="0"/>
        <v>120</v>
      </c>
      <c r="AK18">
        <f t="shared" si="0"/>
        <v>140</v>
      </c>
      <c r="AL18">
        <f t="shared" si="0"/>
        <v>160</v>
      </c>
      <c r="AM18">
        <f t="shared" si="0"/>
        <v>180</v>
      </c>
      <c r="AO18">
        <f>U18</f>
        <v>20</v>
      </c>
      <c r="AP18">
        <f t="shared" ref="AP18:AW18" si="1">V18</f>
        <v>40</v>
      </c>
      <c r="AQ18">
        <f t="shared" si="1"/>
        <v>60</v>
      </c>
      <c r="AR18">
        <f t="shared" si="1"/>
        <v>80</v>
      </c>
      <c r="AS18">
        <f t="shared" si="1"/>
        <v>100</v>
      </c>
      <c r="AT18">
        <f t="shared" si="1"/>
        <v>120</v>
      </c>
      <c r="AU18">
        <f t="shared" si="1"/>
        <v>140</v>
      </c>
      <c r="AV18">
        <f t="shared" si="1"/>
        <v>160</v>
      </c>
      <c r="AW18">
        <f t="shared" si="1"/>
        <v>180</v>
      </c>
      <c r="AY18">
        <f>U18</f>
        <v>20</v>
      </c>
      <c r="AZ18">
        <f t="shared" ref="AZ18:BG18" si="2">V18</f>
        <v>40</v>
      </c>
      <c r="BA18">
        <f t="shared" si="2"/>
        <v>60</v>
      </c>
      <c r="BB18">
        <f t="shared" si="2"/>
        <v>80</v>
      </c>
      <c r="BC18">
        <f t="shared" si="2"/>
        <v>100</v>
      </c>
      <c r="BD18">
        <f t="shared" si="2"/>
        <v>120</v>
      </c>
      <c r="BE18">
        <f t="shared" si="2"/>
        <v>140</v>
      </c>
      <c r="BF18">
        <f t="shared" si="2"/>
        <v>160</v>
      </c>
      <c r="BG18">
        <f t="shared" si="2"/>
        <v>180</v>
      </c>
      <c r="BI18">
        <f>AY18</f>
        <v>20</v>
      </c>
      <c r="BJ18">
        <f t="shared" ref="BJ18:BQ18" si="3">AZ18</f>
        <v>40</v>
      </c>
      <c r="BK18">
        <f t="shared" si="3"/>
        <v>60</v>
      </c>
      <c r="BL18">
        <f t="shared" si="3"/>
        <v>80</v>
      </c>
      <c r="BM18">
        <f t="shared" si="3"/>
        <v>100</v>
      </c>
      <c r="BN18">
        <f t="shared" si="3"/>
        <v>120</v>
      </c>
      <c r="BO18">
        <f t="shared" si="3"/>
        <v>140</v>
      </c>
      <c r="BP18">
        <f t="shared" si="3"/>
        <v>160</v>
      </c>
      <c r="BQ18">
        <f t="shared" si="3"/>
        <v>180</v>
      </c>
      <c r="BR18" s="3"/>
      <c r="BT18" t="s">
        <v>160</v>
      </c>
      <c r="BU18" t="s">
        <v>154</v>
      </c>
      <c r="BV18" t="s">
        <v>114</v>
      </c>
      <c r="BW18" t="s">
        <v>158</v>
      </c>
      <c r="BX18" t="s">
        <v>155</v>
      </c>
      <c r="BY18" t="s">
        <v>159</v>
      </c>
    </row>
    <row r="19" spans="2:77" x14ac:dyDescent="0.25">
      <c r="B19">
        <v>50</v>
      </c>
      <c r="C19" s="3">
        <f t="shared" ref="C19:C33" si="4">Door*(Ac_FF*Bc_FF*(Nc_FF/$B19+rc_FF*Mc_FF))</f>
        <v>1.5634999999999999</v>
      </c>
      <c r="D19" s="4">
        <f>C19*B19</f>
        <v>78.174999999999997</v>
      </c>
      <c r="E19" s="4">
        <f t="shared" ref="E19:E33" si="5">(B19*((25-5)/20)*CC*Bc_Actual*$F$15+$F$16+Ch)</f>
        <v>256.64999999999998</v>
      </c>
      <c r="F19" s="3">
        <f>D19/E19</f>
        <v>0.3045977011494253</v>
      </c>
      <c r="H19">
        <f>B19</f>
        <v>50</v>
      </c>
      <c r="I19" s="3">
        <f t="shared" ref="I19:I33" si="6">Door*(Ac_FR*BC_FR*(Nc_FR/$H19+rc_FR*Mc_FR))</f>
        <v>2.6149999999999998</v>
      </c>
      <c r="J19" s="4">
        <f>I19*H19</f>
        <v>130.75</v>
      </c>
      <c r="K19" s="4">
        <f t="shared" ref="K19:K33" si="7">(H19*((25--18)/20)*FF_Actual*CC*Bc_Actual*$L$15+$L$16+Ch)</f>
        <v>372.9425</v>
      </c>
      <c r="L19" s="3">
        <f>J19/K19</f>
        <v>0.35059023844158282</v>
      </c>
      <c r="M19" s="3"/>
      <c r="N19">
        <f>B19</f>
        <v>50</v>
      </c>
      <c r="O19" s="3">
        <f t="shared" ref="O19:O33" si="8">Door/$H19*(Ac_FR*BC_FR*(Nc_FR+rc_FR*Mc_FR*$H19))</f>
        <v>2.6150000000000002</v>
      </c>
      <c r="P19" s="4">
        <f>O19*N19</f>
        <v>130.75</v>
      </c>
      <c r="Q19" s="4">
        <f t="shared" ref="Q19:Q33" si="9">(N19*((25--18)/20)*FF_Actual*CC*Bc_Actual*$R$15+$R$16+Ch)</f>
        <v>336.74</v>
      </c>
      <c r="R19" s="3">
        <f>P19/Q19</f>
        <v>0.38828176040862383</v>
      </c>
      <c r="T19">
        <f>N19</f>
        <v>50</v>
      </c>
      <c r="U19" s="3">
        <f t="shared" ref="U19:AC33" si="10">AO19*($T19+U$18)/AE19</f>
        <v>0.4624601277510853</v>
      </c>
      <c r="V19" s="3">
        <f t="shared" si="10"/>
        <v>0.4380634102654451</v>
      </c>
      <c r="W19" s="3">
        <f t="shared" si="10"/>
        <v>0.41735432034256009</v>
      </c>
      <c r="X19" s="3">
        <f t="shared" si="10"/>
        <v>0.39955551489608698</v>
      </c>
      <c r="Y19" s="3">
        <f t="shared" si="10"/>
        <v>0.38409378960709756</v>
      </c>
      <c r="Z19" s="3">
        <f t="shared" si="10"/>
        <v>0.37053719602593321</v>
      </c>
      <c r="AA19" s="3">
        <f t="shared" si="10"/>
        <v>0.35855405426530279</v>
      </c>
      <c r="AB19" s="3">
        <f t="shared" si="10"/>
        <v>0.34788545452754543</v>
      </c>
      <c r="AC19" s="3">
        <f t="shared" si="10"/>
        <v>0.33832633775789855</v>
      </c>
      <c r="AE19" s="4">
        <f t="shared" ref="AE19:AE33" si="11">(($T19*((25-5)/20)+U$18*((25+18)/20)*FF_Actual)*CC*Bc_Actual*$AA$15+$AA$16+Ch)</f>
        <v>375.26099999999997</v>
      </c>
      <c r="AF19" s="4">
        <f t="shared" ref="AF19:AF33" si="12">(($T19*((25-5)/20)+V$18*((25+18)/20)*FF_Actual)*CC*Bc_Actual*$AA$15+$AA$16+Ch)</f>
        <v>408.67200000000003</v>
      </c>
      <c r="AG19" s="4">
        <f t="shared" ref="AG19:AG33" si="13">(($T19*((25-5)/20)+W$18*((25+18)/20)*FF_Actual)*CC*Bc_Actual*$AA$15+$AA$16+Ch)</f>
        <v>442.08299999999997</v>
      </c>
      <c r="AH19" s="4">
        <f t="shared" ref="AH19:AH33" si="14">(($T19*((25-5)/20)+X$18*((25+18)/20)*FF_Actual)*CC*Bc_Actual*$AA$15+$AA$16+Ch)</f>
        <v>475.49400000000003</v>
      </c>
      <c r="AI19" s="4">
        <f t="shared" ref="AI19:AI33" si="15">(($T19*((25-5)/20)+Y$18*((25+18)/20)*FF_Actual)*CC*Bc_Actual*$AA$15+$AA$16+Ch)</f>
        <v>508.90499999999997</v>
      </c>
      <c r="AJ19" s="4">
        <f t="shared" ref="AJ19:AJ33" si="16">(($T19*((25-5)/20)+Z$18*((25+18)/20)*FF_Actual)*CC*Bc_Actual*$AA$15+$AA$16+Ch)</f>
        <v>542.31600000000003</v>
      </c>
      <c r="AK19" s="4">
        <f t="shared" ref="AK19:AK33" si="17">(($T19*((25-5)/20)+AA$18*((25+18)/20)*FF_Actual)*CC*Bc_Actual*$AA$15+$AA$16+Ch)</f>
        <v>575.72700000000009</v>
      </c>
      <c r="AL19" s="4">
        <f t="shared" ref="AL19:AL33" si="18">(($T19*((25-5)/20)+AB$18*((25+18)/20)*FF_Actual)*CC*Bc_Actual*$AA$15+$AA$16+Ch)</f>
        <v>609.13800000000003</v>
      </c>
      <c r="AM19" s="4">
        <f t="shared" ref="AM19:AM33" si="19">(($T19*((25-5)/20)+AC$18*((25+18)/20)*FF_Actual)*CC*Bc_Actual*$AA$15+$AA$16+Ch)</f>
        <v>642.54899999999998</v>
      </c>
      <c r="AO19" s="3">
        <f t="shared" ref="AO19:AO33" si="20">Door*(Ac_FF*Bc_FF*AY19*(Nc_FF/IF(TotVol="Y",($T19+U$18),$T19)+rc_FF*Mc_FF)+Ac_FR*BC_FR*BI19*(Nc_FR/IF(TotVol="Y",($T19+U$18),U$18)+rc_FR*Mc_FR))</f>
        <v>2.4791892857142859</v>
      </c>
      <c r="AP19" s="3">
        <f t="shared" ref="AP19:AP33" si="21">Door*(Ac_FF*Bc_FF*AZ19*(Nc_FF/IF(TotVol="Y",($T19+V$18),$T19)+rc_FF*Mc_FF)+Ac_FR*BC_FR*BJ19*(Nc_FR/IF(TotVol="Y",($T19+V$18),V$18)+rc_FR*Mc_FR))</f>
        <v>1.9891583333333334</v>
      </c>
      <c r="AQ19" s="3">
        <f t="shared" ref="AQ19:AQ33" si="22">Door*(Ac_FF*Bc_FF*BA19*(Nc_FF/IF(TotVol="Y",($T19+W$18),$T19)+rc_FF*Mc_FF)+Ac_FR*BC_FR*BK19*(Nc_FR/IF(TotVol="Y",($T19+W$18),W$18)+rc_FR*Mc_FR))</f>
        <v>1.6773204545454545</v>
      </c>
      <c r="AR19" s="3">
        <f t="shared" ref="AR19:AR33" si="23">Door*(Ac_FF*Bc_FF*BB19*(Nc_FF/IF(TotVol="Y",($T19+X$18),$T19)+rc_FF*Mc_FF)+Ac_FR*BC_FR*BL19*(Nc_FR/IF(TotVol="Y",($T19+X$18),X$18)+rc_FR*Mc_FR))</f>
        <v>1.4614326923076921</v>
      </c>
      <c r="AS19" s="3">
        <f t="shared" ref="AS19:AS33" si="24">Door*(Ac_FF*Bc_FF*BC19*(Nc_FF/IF(TotVol="Y",($T19+Y$18),$T19)+rc_FF*Mc_FF)+Ac_FR*BC_FR*BM19*(Nc_FR/IF(TotVol="Y",($T19+Y$18),Y$18)+rc_FR*Mc_FR))</f>
        <v>1.3031149999999998</v>
      </c>
      <c r="AT19" s="3">
        <f t="shared" ref="AT19:AT33" si="25">Door*(Ac_FF*Bc_FF*BD19*(Nc_FF/IF(TotVol="Y",($T19+Z$18),$T19)+rc_FF*Mc_FF)+Ac_FR*BC_FR*BN19*(Nc_FR/IF(TotVol="Y",($T19+Z$18),Z$18)+rc_FR*Mc_FR))</f>
        <v>1.1820485294117646</v>
      </c>
      <c r="AU19" s="3">
        <f t="shared" ref="AU19:AU33" si="26">Door*(Ac_FF*Bc_FF*BE19*(Nc_FF/IF(TotVol="Y",($T19+AA$18),$T19)+rc_FF*Mc_FF)+Ac_FR*BC_FR*BO19*(Nc_FR/IF(TotVol="Y",($T19+AA$18),AA$18)+rc_FR*Mc_FR))</f>
        <v>1.0864697368421052</v>
      </c>
      <c r="AV19" s="3">
        <f t="shared" ref="AV19:AV33" si="27">Door*(Ac_FF*Bc_FF*BF19*(Nc_FF/IF(TotVol="Y",($T19+AB$18),$T19)+rc_FF*Mc_FF)+Ac_FR*BC_FR*BP19*(Nc_FR/IF(TotVol="Y",($T19+AB$18),AB$18)+rc_FR*Mc_FR))</f>
        <v>1.0090964285714286</v>
      </c>
      <c r="AW19" s="3">
        <f t="shared" ref="AW19:AW33" si="28">Door*(Ac_FF*Bc_FF*BG19*(Nc_FF/IF(TotVol="Y",($T19+AC$18),$T19)+rc_FF*Mc_FF)+Ac_FR*BC_FR*BQ19*(Nc_FR/IF(TotVol="Y",($T19+AC$18),AC$18)+rc_FR*Mc_FR))</f>
        <v>0.94517934782608681</v>
      </c>
      <c r="AY19" s="3">
        <f t="shared" ref="AY19:AY33" si="29">IF($AY$15,Cc_Constant*$T19/($T19+U$18),1)</f>
        <v>0.62142857142857144</v>
      </c>
      <c r="AZ19" s="3">
        <f t="shared" ref="AZ19:AZ33" si="30">IF($AY$15,Cc_Constant*$T19/($T19+V$18),1)</f>
        <v>0.48333333333333334</v>
      </c>
      <c r="BA19" s="3">
        <f t="shared" ref="BA19:BA33" si="31">IF($AY$15,Cc_Constant*$T19/($T19+W$18),1)</f>
        <v>0.39545454545454545</v>
      </c>
      <c r="BB19" s="3">
        <f t="shared" ref="BB19:BB33" si="32">IF($AY$15,Cc_Constant*$T19/($T19+X$18),1)</f>
        <v>0.33461538461538459</v>
      </c>
      <c r="BC19" s="3">
        <f t="shared" ref="BC19:BC33" si="33">IF($AY$15,Cc_Constant*$T19/($T19+Y$18),1)</f>
        <v>0.28999999999999998</v>
      </c>
      <c r="BD19" s="3">
        <f t="shared" ref="BD19:BD33" si="34">IF($AY$15,Cc_Constant*$T19/($T19+Z$18),1)</f>
        <v>0.25588235294117645</v>
      </c>
      <c r="BE19" s="3">
        <f t="shared" ref="BE19:BE33" si="35">IF($AY$15,Cc_Constant*$T19/($T19+AA$18),1)</f>
        <v>0.22894736842105262</v>
      </c>
      <c r="BF19" s="3">
        <f t="shared" ref="BF19:BF33" si="36">IF($AY$15,Cc_Constant*$T19/($T19+AB$18),1)</f>
        <v>0.20714285714285716</v>
      </c>
      <c r="BG19" s="3">
        <f t="shared" ref="BG19:BG33" si="37">IF($AY$15,Cc_Constant*$T19/($T19+AC$18),1)</f>
        <v>0.18913043478260869</v>
      </c>
      <c r="BI19" s="3">
        <f t="shared" ref="BI19:BI33" si="38">IF($BI$15,Cc_Constant*U$18/($T19+U$18),1)</f>
        <v>0.24857142857142855</v>
      </c>
      <c r="BJ19" s="3">
        <f t="shared" ref="BJ19:BJ33" si="39">IF($BI$15,Cc_Constant*V$18/($T19+V$18),1)</f>
        <v>0.38666666666666666</v>
      </c>
      <c r="BK19" s="3">
        <f t="shared" ref="BK19:BK33" si="40">IF($BI$15,Cc_Constant*W$18/($T19+W$18),1)</f>
        <v>0.47454545454545455</v>
      </c>
      <c r="BL19" s="3">
        <f t="shared" ref="BL19:BL33" si="41">IF($BI$15,Cc_Constant*X$18/($T19+X$18),1)</f>
        <v>0.53538461538461535</v>
      </c>
      <c r="BM19" s="3">
        <f t="shared" ref="BM19:BM33" si="42">IF($BI$15,Cc_Constant*Y$18/($T19+Y$18),1)</f>
        <v>0.57999999999999996</v>
      </c>
      <c r="BN19" s="3">
        <f t="shared" ref="BN19:BN33" si="43">IF($BI$15,Cc_Constant*Z$18/($T19+Z$18),1)</f>
        <v>0.61411764705882355</v>
      </c>
      <c r="BO19" s="3">
        <f t="shared" ref="BO19:BO33" si="44">IF($BI$15,Cc_Constant*AA$18/($T19+AA$18),1)</f>
        <v>0.64105263157894732</v>
      </c>
      <c r="BP19" s="3">
        <f t="shared" ref="BP19:BP33" si="45">IF($BI$15,Cc_Constant*AB$18/($T19+AB$18),1)</f>
        <v>0.66285714285714281</v>
      </c>
      <c r="BQ19" s="3">
        <f t="shared" ref="BQ19:BQ33" si="46">IF($BI$15,Cc_Constant*AC$18/($T19+AC$18),1)</f>
        <v>0.68086956521739128</v>
      </c>
      <c r="BR19" s="3"/>
      <c r="BT19">
        <v>50</v>
      </c>
      <c r="BU19" s="5">
        <f t="shared" ref="BU19:BU33" si="47">BT19/rVFresh*(1-rVFresh)</f>
        <v>50</v>
      </c>
      <c r="BV19" s="3">
        <f t="shared" ref="BV19:BV33" si="48">Door*(Ac_FF*Bc_FF*Cc_Constant*$BT19/($BT19+BU19)*(Nc_FF/$BT19+rc_FF*Mc_FF))+Ac_FR*BC_FR*Cc_Constant*$BU19/($BT19+BU19)*(Nc_FR/$BU19+rc_FR*Mc_FR)</f>
        <v>1.8176474999999999</v>
      </c>
      <c r="BW19" s="4">
        <f>BV19*(BT19+BU19)</f>
        <v>181.76474999999999</v>
      </c>
      <c r="BX19" s="4">
        <f t="shared" ref="BX19:BX33" si="49">(BT19*(25-5)/20+BU19*(25--18)/20)*FF_Actual*CC*Bc_Actual*$AA$15+$AA$16+Ch</f>
        <v>425.3775</v>
      </c>
      <c r="BY19" s="3">
        <f>BW19/BX19</f>
        <v>0.42730221979300737</v>
      </c>
    </row>
    <row r="20" spans="2:77" x14ac:dyDescent="0.25">
      <c r="B20">
        <v>70</v>
      </c>
      <c r="C20" s="3">
        <f t="shared" si="4"/>
        <v>1.1520714285714284</v>
      </c>
      <c r="D20" s="4">
        <f t="shared" ref="D20:D33" si="50">C20*B20</f>
        <v>80.644999999999982</v>
      </c>
      <c r="E20" s="4">
        <f t="shared" si="5"/>
        <v>261.31</v>
      </c>
      <c r="F20" s="3">
        <f t="shared" ref="F20:F33" si="51">D20/E20</f>
        <v>0.30861811641345521</v>
      </c>
      <c r="H20">
        <f t="shared" ref="H20:H33" si="52">B20</f>
        <v>70</v>
      </c>
      <c r="I20" s="3">
        <f t="shared" si="6"/>
        <v>1.9578571428571427</v>
      </c>
      <c r="J20" s="4">
        <f t="shared" ref="J20:J33" si="53">I20*H20</f>
        <v>137.04999999999998</v>
      </c>
      <c r="K20" s="4">
        <f t="shared" si="7"/>
        <v>396.11950000000002</v>
      </c>
      <c r="L20" s="3">
        <f t="shared" ref="L20:L33" si="54">J20/K20</f>
        <v>0.34598145256671275</v>
      </c>
      <c r="M20" s="3"/>
      <c r="N20">
        <f t="shared" ref="N20:N33" si="55">B20</f>
        <v>70</v>
      </c>
      <c r="O20" s="3">
        <f t="shared" si="8"/>
        <v>1.957857142857143</v>
      </c>
      <c r="P20" s="4">
        <f t="shared" ref="P20:P33" si="56">O20*N20</f>
        <v>137.05000000000001</v>
      </c>
      <c r="Q20" s="4">
        <f t="shared" si="9"/>
        <v>357.036</v>
      </c>
      <c r="R20" s="3">
        <f t="shared" ref="R20:R33" si="57">P20/Q20</f>
        <v>0.38385484937093184</v>
      </c>
      <c r="T20">
        <f t="shared" ref="T20:T33" si="58">N20</f>
        <v>70</v>
      </c>
      <c r="U20" s="3">
        <f t="shared" si="10"/>
        <v>0.44956934603545029</v>
      </c>
      <c r="V20" s="3">
        <f t="shared" si="10"/>
        <v>0.42708162428219842</v>
      </c>
      <c r="W20" s="3">
        <f t="shared" si="10"/>
        <v>0.40787755423132133</v>
      </c>
      <c r="X20" s="3">
        <f t="shared" si="10"/>
        <v>0.39128685589999873</v>
      </c>
      <c r="Y20" s="3">
        <f t="shared" si="10"/>
        <v>0.37681005634527925</v>
      </c>
      <c r="Z20" s="3">
        <f t="shared" si="10"/>
        <v>0.36406733995869894</v>
      </c>
      <c r="AA20" s="3">
        <f t="shared" si="10"/>
        <v>0.35276474080237846</v>
      </c>
      <c r="AB20" s="3">
        <f t="shared" si="10"/>
        <v>0.34267118419409676</v>
      </c>
      <c r="AC20" s="3">
        <f t="shared" si="10"/>
        <v>0.3336025218473489</v>
      </c>
      <c r="AE20" s="4">
        <f t="shared" si="11"/>
        <v>390.80099999999999</v>
      </c>
      <c r="AF20" s="4">
        <f t="shared" si="12"/>
        <v>424.21199999999999</v>
      </c>
      <c r="AG20" s="4">
        <f t="shared" si="13"/>
        <v>457.62300000000005</v>
      </c>
      <c r="AH20" s="4">
        <f t="shared" si="14"/>
        <v>491.03399999999999</v>
      </c>
      <c r="AI20" s="4">
        <f t="shared" si="15"/>
        <v>524.44499999999994</v>
      </c>
      <c r="AJ20" s="4">
        <f t="shared" si="16"/>
        <v>557.85599999999999</v>
      </c>
      <c r="AK20" s="4">
        <f t="shared" si="17"/>
        <v>591.26700000000005</v>
      </c>
      <c r="AL20" s="4">
        <f t="shared" si="18"/>
        <v>624.678</v>
      </c>
      <c r="AM20" s="4">
        <f t="shared" si="19"/>
        <v>658.08899999999994</v>
      </c>
      <c r="AO20" s="3">
        <f t="shared" si="20"/>
        <v>1.952135</v>
      </c>
      <c r="AP20" s="3">
        <f t="shared" si="21"/>
        <v>1.6470286363636362</v>
      </c>
      <c r="AQ20" s="3">
        <f t="shared" si="22"/>
        <v>1.4358011538461537</v>
      </c>
      <c r="AR20" s="3">
        <f t="shared" si="23"/>
        <v>1.2809009999999998</v>
      </c>
      <c r="AS20" s="3">
        <f t="shared" si="24"/>
        <v>1.1624479411764703</v>
      </c>
      <c r="AT20" s="3">
        <f t="shared" si="25"/>
        <v>1.0689323684210525</v>
      </c>
      <c r="AU20" s="3">
        <f t="shared" si="26"/>
        <v>0.99322928571428548</v>
      </c>
      <c r="AV20" s="3">
        <f t="shared" si="27"/>
        <v>0.93069195652173908</v>
      </c>
      <c r="AW20" s="3">
        <f t="shared" si="28"/>
        <v>0.87816059999999996</v>
      </c>
      <c r="AY20" s="3">
        <f t="shared" si="29"/>
        <v>0.67666666666666664</v>
      </c>
      <c r="AZ20" s="3">
        <f t="shared" si="30"/>
        <v>0.55363636363636359</v>
      </c>
      <c r="BA20" s="3">
        <f t="shared" si="31"/>
        <v>0.46846153846153843</v>
      </c>
      <c r="BB20" s="3">
        <f t="shared" si="32"/>
        <v>0.40599999999999997</v>
      </c>
      <c r="BC20" s="3">
        <f t="shared" si="33"/>
        <v>0.35823529411764704</v>
      </c>
      <c r="BD20" s="3">
        <f t="shared" si="34"/>
        <v>0.32052631578947366</v>
      </c>
      <c r="BE20" s="3">
        <f t="shared" si="35"/>
        <v>0.28999999999999998</v>
      </c>
      <c r="BF20" s="3">
        <f t="shared" si="36"/>
        <v>0.26478260869565218</v>
      </c>
      <c r="BG20" s="3">
        <f t="shared" si="37"/>
        <v>0.24359999999999998</v>
      </c>
      <c r="BI20" s="3">
        <f t="shared" si="38"/>
        <v>0.19333333333333333</v>
      </c>
      <c r="BJ20" s="3">
        <f t="shared" si="39"/>
        <v>0.31636363636363635</v>
      </c>
      <c r="BK20" s="3">
        <f t="shared" si="40"/>
        <v>0.40153846153846157</v>
      </c>
      <c r="BL20" s="3">
        <f t="shared" si="41"/>
        <v>0.46399999999999997</v>
      </c>
      <c r="BM20" s="3">
        <f t="shared" si="42"/>
        <v>0.5117647058823529</v>
      </c>
      <c r="BN20" s="3">
        <f t="shared" si="43"/>
        <v>0.54947368421052634</v>
      </c>
      <c r="BO20" s="3">
        <f t="shared" si="44"/>
        <v>0.57999999999999996</v>
      </c>
      <c r="BP20" s="3">
        <f t="shared" si="45"/>
        <v>0.60521739130434782</v>
      </c>
      <c r="BQ20" s="3">
        <f t="shared" si="46"/>
        <v>0.62639999999999996</v>
      </c>
      <c r="BR20" s="3"/>
      <c r="BT20">
        <v>70</v>
      </c>
      <c r="BU20" s="5">
        <f t="shared" si="47"/>
        <v>70</v>
      </c>
      <c r="BV20" s="3">
        <f t="shared" si="48"/>
        <v>1.3528189285714285</v>
      </c>
      <c r="BW20" s="4">
        <f t="shared" ref="BW20:BW33" si="59">BV20*(BT20+BU20)</f>
        <v>189.39464999999998</v>
      </c>
      <c r="BX20" s="4">
        <f t="shared" si="49"/>
        <v>474.32849999999996</v>
      </c>
      <c r="BY20" s="3">
        <f t="shared" ref="BY20:BY33" si="60">BW20/BX20</f>
        <v>0.39929004898503884</v>
      </c>
    </row>
    <row r="21" spans="2:77" x14ac:dyDescent="0.25">
      <c r="B21">
        <v>90</v>
      </c>
      <c r="C21" s="3">
        <f t="shared" si="4"/>
        <v>0.92349999999999999</v>
      </c>
      <c r="D21" s="4">
        <f t="shared" si="50"/>
        <v>83.114999999999995</v>
      </c>
      <c r="E21" s="4">
        <f t="shared" si="5"/>
        <v>265.97000000000003</v>
      </c>
      <c r="F21" s="3">
        <f t="shared" si="51"/>
        <v>0.31249765011091474</v>
      </c>
      <c r="H21">
        <f t="shared" si="52"/>
        <v>90</v>
      </c>
      <c r="I21" s="3">
        <f t="shared" si="6"/>
        <v>1.5927777777777776</v>
      </c>
      <c r="J21" s="4">
        <f t="shared" si="53"/>
        <v>143.35</v>
      </c>
      <c r="K21" s="4">
        <f t="shared" si="7"/>
        <v>419.29650000000004</v>
      </c>
      <c r="L21" s="3">
        <f t="shared" si="54"/>
        <v>0.34188217645508606</v>
      </c>
      <c r="M21" s="3"/>
      <c r="N21">
        <f t="shared" si="55"/>
        <v>90</v>
      </c>
      <c r="O21" s="3">
        <f t="shared" si="8"/>
        <v>1.5927777777777778</v>
      </c>
      <c r="P21" s="4">
        <f t="shared" si="56"/>
        <v>143.35</v>
      </c>
      <c r="Q21" s="4">
        <f t="shared" si="9"/>
        <v>377.33199999999999</v>
      </c>
      <c r="R21" s="3">
        <f t="shared" si="57"/>
        <v>0.37990416927268295</v>
      </c>
      <c r="T21">
        <f t="shared" si="58"/>
        <v>90</v>
      </c>
      <c r="U21" s="3">
        <f t="shared" si="10"/>
        <v>0.43766454775668712</v>
      </c>
      <c r="V21" s="3">
        <f t="shared" si="10"/>
        <v>0.41687598919390928</v>
      </c>
      <c r="W21" s="3">
        <f t="shared" si="10"/>
        <v>0.39902327527723008</v>
      </c>
      <c r="X21" s="3">
        <f t="shared" si="10"/>
        <v>0.38352550663871421</v>
      </c>
      <c r="Y21" s="3">
        <f t="shared" si="10"/>
        <v>0.36994555404316781</v>
      </c>
      <c r="Z21" s="3">
        <f t="shared" si="10"/>
        <v>0.35794817194399686</v>
      </c>
      <c r="AA21" s="3">
        <f t="shared" si="10"/>
        <v>0.34727194973030961</v>
      </c>
      <c r="AB21" s="3">
        <f t="shared" si="10"/>
        <v>0.33771004564070356</v>
      </c>
      <c r="AC21" s="3">
        <f t="shared" si="10"/>
        <v>0.32909665409297995</v>
      </c>
      <c r="AE21" s="4">
        <f t="shared" si="11"/>
        <v>406.34100000000001</v>
      </c>
      <c r="AF21" s="4">
        <f t="shared" si="12"/>
        <v>439.75200000000001</v>
      </c>
      <c r="AG21" s="4">
        <f t="shared" si="13"/>
        <v>473.16300000000001</v>
      </c>
      <c r="AH21" s="4">
        <f t="shared" si="14"/>
        <v>506.57400000000001</v>
      </c>
      <c r="AI21" s="4">
        <f t="shared" si="15"/>
        <v>539.98500000000001</v>
      </c>
      <c r="AJ21" s="4">
        <f t="shared" si="16"/>
        <v>573.39599999999996</v>
      </c>
      <c r="AK21" s="4">
        <f t="shared" si="17"/>
        <v>606.80700000000002</v>
      </c>
      <c r="AL21" s="4">
        <f t="shared" si="18"/>
        <v>640.21800000000007</v>
      </c>
      <c r="AM21" s="4">
        <f t="shared" si="19"/>
        <v>673.62900000000002</v>
      </c>
      <c r="AO21" s="3">
        <f t="shared" si="20"/>
        <v>1.6167368181818182</v>
      </c>
      <c r="AP21" s="3">
        <f t="shared" si="21"/>
        <v>1.4101696153846153</v>
      </c>
      <c r="AQ21" s="3">
        <f t="shared" si="22"/>
        <v>1.2586870000000001</v>
      </c>
      <c r="AR21" s="3">
        <f t="shared" si="23"/>
        <v>1.1428473529411765</v>
      </c>
      <c r="AS21" s="3">
        <f t="shared" si="24"/>
        <v>1.0513949999999999</v>
      </c>
      <c r="AT21" s="3">
        <f t="shared" si="25"/>
        <v>0.97736214285714285</v>
      </c>
      <c r="AU21" s="3">
        <f t="shared" si="26"/>
        <v>0.91620456521739124</v>
      </c>
      <c r="AV21" s="3">
        <f t="shared" si="27"/>
        <v>0.86483219999999994</v>
      </c>
      <c r="AW21" s="3">
        <f t="shared" si="28"/>
        <v>0.82107055555555553</v>
      </c>
      <c r="AY21" s="3">
        <f t="shared" si="29"/>
        <v>0.71181818181818179</v>
      </c>
      <c r="AZ21" s="3">
        <f t="shared" si="30"/>
        <v>0.60230769230769232</v>
      </c>
      <c r="BA21" s="3">
        <f t="shared" si="31"/>
        <v>0.52200000000000002</v>
      </c>
      <c r="BB21" s="3">
        <f t="shared" si="32"/>
        <v>0.46058823529411763</v>
      </c>
      <c r="BC21" s="3">
        <f t="shared" si="33"/>
        <v>0.4121052631578947</v>
      </c>
      <c r="BD21" s="3">
        <f t="shared" si="34"/>
        <v>0.37285714285714283</v>
      </c>
      <c r="BE21" s="3">
        <f t="shared" si="35"/>
        <v>0.34043478260869564</v>
      </c>
      <c r="BF21" s="3">
        <f t="shared" si="36"/>
        <v>0.31319999999999998</v>
      </c>
      <c r="BG21" s="3">
        <f t="shared" si="37"/>
        <v>0.28999999999999998</v>
      </c>
      <c r="BI21" s="3">
        <f t="shared" si="38"/>
        <v>0.15818181818181817</v>
      </c>
      <c r="BJ21" s="3">
        <f t="shared" si="39"/>
        <v>0.26769230769230767</v>
      </c>
      <c r="BK21" s="3">
        <f t="shared" si="40"/>
        <v>0.34800000000000003</v>
      </c>
      <c r="BL21" s="3">
        <f t="shared" si="41"/>
        <v>0.40941176470588231</v>
      </c>
      <c r="BM21" s="3">
        <f t="shared" si="42"/>
        <v>0.45789473684210524</v>
      </c>
      <c r="BN21" s="3">
        <f t="shared" si="43"/>
        <v>0.49714285714285716</v>
      </c>
      <c r="BO21" s="3">
        <f t="shared" si="44"/>
        <v>0.52956521739130435</v>
      </c>
      <c r="BP21" s="3">
        <f t="shared" si="45"/>
        <v>0.55679999999999996</v>
      </c>
      <c r="BQ21" s="3">
        <f t="shared" si="46"/>
        <v>0.57999999999999996</v>
      </c>
      <c r="BR21" s="3"/>
      <c r="BT21">
        <v>90</v>
      </c>
      <c r="BU21" s="5">
        <f t="shared" si="47"/>
        <v>90</v>
      </c>
      <c r="BV21" s="3">
        <f t="shared" si="48"/>
        <v>1.0945808333333331</v>
      </c>
      <c r="BW21" s="4">
        <f t="shared" si="59"/>
        <v>197.02454999999995</v>
      </c>
      <c r="BX21" s="4">
        <f t="shared" si="49"/>
        <v>523.27949999999998</v>
      </c>
      <c r="BY21" s="3">
        <f t="shared" si="60"/>
        <v>0.37651876291733183</v>
      </c>
    </row>
    <row r="22" spans="2:77" x14ac:dyDescent="0.25">
      <c r="B22">
        <v>110</v>
      </c>
      <c r="C22" s="3">
        <f t="shared" si="4"/>
        <v>0.77804545454545448</v>
      </c>
      <c r="D22" s="4">
        <f t="shared" si="50"/>
        <v>85.584999999999994</v>
      </c>
      <c r="E22" s="4">
        <f t="shared" si="5"/>
        <v>270.63</v>
      </c>
      <c r="F22" s="3">
        <f t="shared" si="51"/>
        <v>0.31624357979529244</v>
      </c>
      <c r="H22">
        <f t="shared" si="52"/>
        <v>110</v>
      </c>
      <c r="I22" s="3">
        <f t="shared" si="6"/>
        <v>1.3604545454545454</v>
      </c>
      <c r="J22" s="4">
        <f t="shared" si="53"/>
        <v>149.64999999999998</v>
      </c>
      <c r="K22" s="4">
        <f t="shared" si="7"/>
        <v>442.4735</v>
      </c>
      <c r="L22" s="3">
        <f t="shared" si="54"/>
        <v>0.33821234492009122</v>
      </c>
      <c r="M22" s="3"/>
      <c r="N22">
        <f t="shared" si="55"/>
        <v>110</v>
      </c>
      <c r="O22" s="3">
        <f t="shared" si="8"/>
        <v>1.3604545454545454</v>
      </c>
      <c r="P22" s="4">
        <f t="shared" si="56"/>
        <v>149.64999999999998</v>
      </c>
      <c r="Q22" s="4">
        <f t="shared" si="9"/>
        <v>397.62799999999999</v>
      </c>
      <c r="R22" s="3">
        <f t="shared" si="57"/>
        <v>0.37635679579908854</v>
      </c>
      <c r="T22">
        <f t="shared" si="58"/>
        <v>110</v>
      </c>
      <c r="U22" s="3">
        <f t="shared" si="10"/>
        <v>0.42663677672139777</v>
      </c>
      <c r="V22" s="3">
        <f t="shared" si="10"/>
        <v>0.40736703038928856</v>
      </c>
      <c r="W22" s="3">
        <f t="shared" si="10"/>
        <v>0.3907321010920744</v>
      </c>
      <c r="X22" s="3">
        <f t="shared" si="10"/>
        <v>0.37622616899757522</v>
      </c>
      <c r="Y22" s="3">
        <f t="shared" si="10"/>
        <v>0.36346510058053194</v>
      </c>
      <c r="Z22" s="3">
        <f t="shared" si="10"/>
        <v>0.35215193161905534</v>
      </c>
      <c r="AA22" s="3">
        <f t="shared" si="10"/>
        <v>0.34205346856335772</v>
      </c>
      <c r="AB22" s="3">
        <f t="shared" si="10"/>
        <v>0.3329840428938724</v>
      </c>
      <c r="AC22" s="3">
        <f t="shared" si="10"/>
        <v>0.32479399102397227</v>
      </c>
      <c r="AE22" s="4">
        <f t="shared" si="11"/>
        <v>421.88099999999997</v>
      </c>
      <c r="AF22" s="4">
        <f t="shared" si="12"/>
        <v>455.29200000000003</v>
      </c>
      <c r="AG22" s="4">
        <f t="shared" si="13"/>
        <v>488.70299999999997</v>
      </c>
      <c r="AH22" s="4">
        <f t="shared" si="14"/>
        <v>522.11400000000003</v>
      </c>
      <c r="AI22" s="4">
        <f t="shared" si="15"/>
        <v>555.52499999999998</v>
      </c>
      <c r="AJ22" s="4">
        <f t="shared" si="16"/>
        <v>588.93600000000004</v>
      </c>
      <c r="AK22" s="4">
        <f t="shared" si="17"/>
        <v>622.34699999999998</v>
      </c>
      <c r="AL22" s="4">
        <f t="shared" si="18"/>
        <v>655.75800000000004</v>
      </c>
      <c r="AM22" s="4">
        <f t="shared" si="19"/>
        <v>689.1690000000001</v>
      </c>
      <c r="AO22" s="3">
        <f t="shared" si="20"/>
        <v>1.3845380769230768</v>
      </c>
      <c r="AP22" s="3">
        <f t="shared" si="21"/>
        <v>1.2364729999999999</v>
      </c>
      <c r="AQ22" s="3">
        <f t="shared" si="22"/>
        <v>1.1232467647058826</v>
      </c>
      <c r="AR22" s="3">
        <f t="shared" si="23"/>
        <v>1.0338576315789474</v>
      </c>
      <c r="AS22" s="3">
        <f t="shared" si="24"/>
        <v>0.96149499999999999</v>
      </c>
      <c r="AT22" s="3">
        <f t="shared" si="25"/>
        <v>0.90171717391304351</v>
      </c>
      <c r="AU22" s="3">
        <f t="shared" si="26"/>
        <v>0.85150379999999992</v>
      </c>
      <c r="AV22" s="3">
        <f t="shared" si="27"/>
        <v>0.80872944444444439</v>
      </c>
      <c r="AW22" s="3">
        <f t="shared" si="28"/>
        <v>0.77185499999999996</v>
      </c>
      <c r="AY22" s="3">
        <f t="shared" si="29"/>
        <v>0.73615384615384616</v>
      </c>
      <c r="AZ22" s="3">
        <f t="shared" si="30"/>
        <v>0.63800000000000001</v>
      </c>
      <c r="BA22" s="3">
        <f t="shared" si="31"/>
        <v>0.56294117647058828</v>
      </c>
      <c r="BB22" s="3">
        <f t="shared" si="32"/>
        <v>0.50368421052631585</v>
      </c>
      <c r="BC22" s="3">
        <f t="shared" si="33"/>
        <v>0.45571428571428574</v>
      </c>
      <c r="BD22" s="3">
        <f t="shared" si="34"/>
        <v>0.41608695652173916</v>
      </c>
      <c r="BE22" s="3">
        <f t="shared" si="35"/>
        <v>0.38280000000000003</v>
      </c>
      <c r="BF22" s="3">
        <f t="shared" si="36"/>
        <v>0.35444444444444445</v>
      </c>
      <c r="BG22" s="3">
        <f t="shared" si="37"/>
        <v>0.33</v>
      </c>
      <c r="BI22" s="3">
        <f t="shared" si="38"/>
        <v>0.13384615384615384</v>
      </c>
      <c r="BJ22" s="3">
        <f t="shared" si="39"/>
        <v>0.23199999999999998</v>
      </c>
      <c r="BK22" s="3">
        <f t="shared" si="40"/>
        <v>0.30705882352941177</v>
      </c>
      <c r="BL22" s="3">
        <f t="shared" si="41"/>
        <v>0.36631578947368421</v>
      </c>
      <c r="BM22" s="3">
        <f t="shared" si="42"/>
        <v>0.41428571428571431</v>
      </c>
      <c r="BN22" s="3">
        <f t="shared" si="43"/>
        <v>0.45391304347826089</v>
      </c>
      <c r="BO22" s="3">
        <f t="shared" si="44"/>
        <v>0.48719999999999997</v>
      </c>
      <c r="BP22" s="3">
        <f t="shared" si="45"/>
        <v>0.51555555555555554</v>
      </c>
      <c r="BQ22" s="3">
        <f t="shared" si="46"/>
        <v>0.54</v>
      </c>
      <c r="BR22" s="3"/>
      <c r="BT22">
        <v>110</v>
      </c>
      <c r="BU22" s="5">
        <f t="shared" si="47"/>
        <v>110</v>
      </c>
      <c r="BV22" s="3">
        <f t="shared" si="48"/>
        <v>0.9302475</v>
      </c>
      <c r="BW22" s="4">
        <f t="shared" si="59"/>
        <v>204.65445</v>
      </c>
      <c r="BX22" s="4">
        <f t="shared" si="49"/>
        <v>572.23050000000001</v>
      </c>
      <c r="BY22" s="3">
        <f t="shared" si="60"/>
        <v>0.35764337972198268</v>
      </c>
    </row>
    <row r="23" spans="2:77" x14ac:dyDescent="0.25">
      <c r="B23">
        <v>130</v>
      </c>
      <c r="C23" s="3">
        <f t="shared" si="4"/>
        <v>0.67734615384615382</v>
      </c>
      <c r="D23" s="4">
        <f t="shared" si="50"/>
        <v>88.054999999999993</v>
      </c>
      <c r="E23" s="4">
        <f t="shared" si="5"/>
        <v>275.29000000000002</v>
      </c>
      <c r="F23" s="3">
        <f t="shared" si="51"/>
        <v>0.31986269025391401</v>
      </c>
      <c r="H23">
        <f t="shared" si="52"/>
        <v>130</v>
      </c>
      <c r="I23" s="3">
        <f t="shared" si="6"/>
        <v>1.1996153846153845</v>
      </c>
      <c r="J23" s="4">
        <f t="shared" si="53"/>
        <v>155.94999999999999</v>
      </c>
      <c r="K23" s="4">
        <f t="shared" si="7"/>
        <v>465.65050000000002</v>
      </c>
      <c r="L23" s="3">
        <f t="shared" si="54"/>
        <v>0.33490783323544154</v>
      </c>
      <c r="M23" s="3"/>
      <c r="N23">
        <f t="shared" si="55"/>
        <v>130</v>
      </c>
      <c r="O23" s="3">
        <f t="shared" si="8"/>
        <v>1.1996153846153845</v>
      </c>
      <c r="P23" s="4">
        <f t="shared" si="56"/>
        <v>155.94999999999999</v>
      </c>
      <c r="Q23" s="4">
        <f t="shared" si="9"/>
        <v>417.92399999999998</v>
      </c>
      <c r="R23" s="3">
        <f t="shared" si="57"/>
        <v>0.37315397057838268</v>
      </c>
      <c r="T23">
        <f t="shared" si="58"/>
        <v>130</v>
      </c>
      <c r="U23" s="3">
        <f t="shared" si="10"/>
        <v>0.41639256002798219</v>
      </c>
      <c r="V23" s="3">
        <f t="shared" si="10"/>
        <v>0.3984857656234071</v>
      </c>
      <c r="W23" s="3">
        <f t="shared" si="10"/>
        <v>0.3829519695860924</v>
      </c>
      <c r="X23" s="3">
        <f t="shared" si="10"/>
        <v>0.36934878193038645</v>
      </c>
      <c r="Y23" s="3">
        <f t="shared" si="10"/>
        <v>0.35733734338472839</v>
      </c>
      <c r="Z23" s="3">
        <f t="shared" si="10"/>
        <v>0.34665371329879108</v>
      </c>
      <c r="AA23" s="3">
        <f t="shared" si="10"/>
        <v>0.3370892493498065</v>
      </c>
      <c r="AB23" s="3">
        <f t="shared" si="10"/>
        <v>0.32847684634841751</v>
      </c>
      <c r="AC23" s="3">
        <f t="shared" si="10"/>
        <v>0.32068108964125608</v>
      </c>
      <c r="AE23" s="4">
        <f t="shared" si="11"/>
        <v>437.42099999999999</v>
      </c>
      <c r="AF23" s="4">
        <f t="shared" si="12"/>
        <v>470.83199999999999</v>
      </c>
      <c r="AG23" s="4">
        <f t="shared" si="13"/>
        <v>504.24299999999999</v>
      </c>
      <c r="AH23" s="4">
        <f t="shared" si="14"/>
        <v>537.654</v>
      </c>
      <c r="AI23" s="4">
        <f t="shared" si="15"/>
        <v>571.06500000000005</v>
      </c>
      <c r="AJ23" s="4">
        <f t="shared" si="16"/>
        <v>604.476</v>
      </c>
      <c r="AK23" s="4">
        <f t="shared" si="17"/>
        <v>637.88699999999994</v>
      </c>
      <c r="AL23" s="4">
        <f t="shared" si="18"/>
        <v>671.298</v>
      </c>
      <c r="AM23" s="4">
        <f t="shared" si="19"/>
        <v>704.70900000000006</v>
      </c>
      <c r="AO23" s="3">
        <f t="shared" si="20"/>
        <v>1.214259</v>
      </c>
      <c r="AP23" s="3">
        <f t="shared" si="21"/>
        <v>1.1036461764705883</v>
      </c>
      <c r="AQ23" s="3">
        <f t="shared" si="22"/>
        <v>1.0163202631578947</v>
      </c>
      <c r="AR23" s="3">
        <f t="shared" si="23"/>
        <v>0.94562785714285713</v>
      </c>
      <c r="AS23" s="3">
        <f t="shared" si="24"/>
        <v>0.88722978260869545</v>
      </c>
      <c r="AT23" s="3">
        <f t="shared" si="25"/>
        <v>0.83817540000000013</v>
      </c>
      <c r="AU23" s="3">
        <f t="shared" si="26"/>
        <v>0.79638833333333325</v>
      </c>
      <c r="AV23" s="3">
        <f t="shared" si="27"/>
        <v>0.76036499999999996</v>
      </c>
      <c r="AW23" s="3">
        <f t="shared" si="28"/>
        <v>0.72898983870967726</v>
      </c>
      <c r="AY23" s="3">
        <f t="shared" si="29"/>
        <v>0.754</v>
      </c>
      <c r="AZ23" s="3">
        <f t="shared" si="30"/>
        <v>0.66529411764705881</v>
      </c>
      <c r="BA23" s="3">
        <f t="shared" si="31"/>
        <v>0.59526315789473683</v>
      </c>
      <c r="BB23" s="3">
        <f t="shared" si="32"/>
        <v>0.53857142857142859</v>
      </c>
      <c r="BC23" s="3">
        <f t="shared" si="33"/>
        <v>0.49173913043478257</v>
      </c>
      <c r="BD23" s="3">
        <f t="shared" si="34"/>
        <v>0.45239999999999997</v>
      </c>
      <c r="BE23" s="3">
        <f t="shared" si="35"/>
        <v>0.41888888888888887</v>
      </c>
      <c r="BF23" s="3">
        <f t="shared" si="36"/>
        <v>0.38999999999999996</v>
      </c>
      <c r="BG23" s="3">
        <f t="shared" si="37"/>
        <v>0.36483870967741933</v>
      </c>
      <c r="BI23" s="3">
        <f t="shared" si="38"/>
        <v>0.11599999999999999</v>
      </c>
      <c r="BJ23" s="3">
        <f t="shared" si="39"/>
        <v>0.20470588235294115</v>
      </c>
      <c r="BK23" s="3">
        <f t="shared" si="40"/>
        <v>0.27473684210526317</v>
      </c>
      <c r="BL23" s="3">
        <f t="shared" si="41"/>
        <v>0.33142857142857141</v>
      </c>
      <c r="BM23" s="3">
        <f t="shared" si="42"/>
        <v>0.37826086956521737</v>
      </c>
      <c r="BN23" s="3">
        <f t="shared" si="43"/>
        <v>0.41760000000000003</v>
      </c>
      <c r="BO23" s="3">
        <f t="shared" si="44"/>
        <v>0.45111111111111107</v>
      </c>
      <c r="BP23" s="3">
        <f t="shared" si="45"/>
        <v>0.48</v>
      </c>
      <c r="BQ23" s="3">
        <f t="shared" si="46"/>
        <v>0.50516129032258061</v>
      </c>
      <c r="BR23" s="3"/>
      <c r="BT23">
        <v>130</v>
      </c>
      <c r="BU23" s="5">
        <f t="shared" si="47"/>
        <v>130</v>
      </c>
      <c r="BV23" s="3">
        <f t="shared" si="48"/>
        <v>0.81647826923076916</v>
      </c>
      <c r="BW23" s="4">
        <f t="shared" si="59"/>
        <v>212.28434999999999</v>
      </c>
      <c r="BX23" s="4">
        <f t="shared" si="49"/>
        <v>621.18150000000003</v>
      </c>
      <c r="BY23" s="3">
        <f t="shared" si="60"/>
        <v>0.3417428722523127</v>
      </c>
    </row>
    <row r="24" spans="2:77" x14ac:dyDescent="0.25">
      <c r="B24">
        <v>150</v>
      </c>
      <c r="C24" s="3">
        <f t="shared" si="4"/>
        <v>0.60349999999999993</v>
      </c>
      <c r="D24" s="4">
        <f t="shared" si="50"/>
        <v>90.524999999999991</v>
      </c>
      <c r="E24" s="4">
        <f t="shared" si="5"/>
        <v>279.95</v>
      </c>
      <c r="F24" s="3">
        <f t="shared" si="51"/>
        <v>0.32336131452045008</v>
      </c>
      <c r="H24">
        <f t="shared" si="52"/>
        <v>150</v>
      </c>
      <c r="I24" s="3">
        <f t="shared" si="6"/>
        <v>1.0816666666666668</v>
      </c>
      <c r="J24" s="4">
        <f t="shared" si="53"/>
        <v>162.25000000000003</v>
      </c>
      <c r="K24" s="4">
        <f t="shared" si="7"/>
        <v>488.82749999999999</v>
      </c>
      <c r="L24" s="3">
        <f t="shared" si="54"/>
        <v>0.3319166781737935</v>
      </c>
      <c r="M24" s="3"/>
      <c r="N24">
        <f t="shared" si="55"/>
        <v>150</v>
      </c>
      <c r="O24" s="3">
        <f t="shared" si="8"/>
        <v>1.0816666666666668</v>
      </c>
      <c r="P24" s="4">
        <f t="shared" si="56"/>
        <v>162.25000000000003</v>
      </c>
      <c r="Q24" s="4">
        <f t="shared" si="9"/>
        <v>438.22</v>
      </c>
      <c r="R24" s="3">
        <f t="shared" si="57"/>
        <v>0.37024782072931406</v>
      </c>
      <c r="T24">
        <f t="shared" si="58"/>
        <v>150</v>
      </c>
      <c r="U24" s="3">
        <f t="shared" si="10"/>
        <v>0.40685125209455109</v>
      </c>
      <c r="V24" s="3">
        <f t="shared" si="10"/>
        <v>0.39017202881744834</v>
      </c>
      <c r="W24" s="3">
        <f t="shared" si="10"/>
        <v>0.37563704468980325</v>
      </c>
      <c r="X24" s="3">
        <f t="shared" si="10"/>
        <v>0.3628577858762026</v>
      </c>
      <c r="Y24" s="3">
        <f t="shared" si="10"/>
        <v>0.35153425217991657</v>
      </c>
      <c r="Z24" s="3">
        <f t="shared" si="10"/>
        <v>0.34143110822946504</v>
      </c>
      <c r="AA24" s="3">
        <f t="shared" si="10"/>
        <v>0.33236115128392302</v>
      </c>
      <c r="AB24" s="3">
        <f t="shared" si="10"/>
        <v>0.32417360425602537</v>
      </c>
      <c r="AC24" s="3">
        <f t="shared" si="10"/>
        <v>0.31674566712345309</v>
      </c>
      <c r="AE24" s="4">
        <f t="shared" si="11"/>
        <v>452.96100000000001</v>
      </c>
      <c r="AF24" s="4">
        <f t="shared" si="12"/>
        <v>486.37200000000001</v>
      </c>
      <c r="AG24" s="4">
        <f t="shared" si="13"/>
        <v>519.78300000000002</v>
      </c>
      <c r="AH24" s="4">
        <f t="shared" si="14"/>
        <v>553.19399999999996</v>
      </c>
      <c r="AI24" s="4">
        <f t="shared" si="15"/>
        <v>586.60500000000002</v>
      </c>
      <c r="AJ24" s="4">
        <f t="shared" si="16"/>
        <v>620.01600000000008</v>
      </c>
      <c r="AK24" s="4">
        <f t="shared" si="17"/>
        <v>653.42700000000002</v>
      </c>
      <c r="AL24" s="4">
        <f t="shared" si="18"/>
        <v>686.83799999999997</v>
      </c>
      <c r="AM24" s="4">
        <f t="shared" si="19"/>
        <v>720.24900000000002</v>
      </c>
      <c r="AO24" s="3">
        <f t="shared" si="20"/>
        <v>1.084045588235294</v>
      </c>
      <c r="AP24" s="3">
        <f t="shared" si="21"/>
        <v>0.99878289473684201</v>
      </c>
      <c r="AQ24" s="3">
        <f t="shared" si="22"/>
        <v>0.92976071428571427</v>
      </c>
      <c r="AR24" s="3">
        <f t="shared" si="23"/>
        <v>0.87274239130434783</v>
      </c>
      <c r="AS24" s="3">
        <f t="shared" si="24"/>
        <v>0.82484699999999989</v>
      </c>
      <c r="AT24" s="3">
        <f t="shared" si="25"/>
        <v>0.78404722222222234</v>
      </c>
      <c r="AU24" s="3">
        <f t="shared" si="26"/>
        <v>0.74887499999999996</v>
      </c>
      <c r="AV24" s="3">
        <f t="shared" si="27"/>
        <v>0.7182411290322579</v>
      </c>
      <c r="AW24" s="3">
        <f t="shared" si="28"/>
        <v>0.69132045454545443</v>
      </c>
      <c r="AY24" s="3">
        <f t="shared" si="29"/>
        <v>0.76764705882352946</v>
      </c>
      <c r="AZ24" s="3">
        <f t="shared" si="30"/>
        <v>0.68684210526315792</v>
      </c>
      <c r="BA24" s="3">
        <f t="shared" si="31"/>
        <v>0.62142857142857144</v>
      </c>
      <c r="BB24" s="3">
        <f t="shared" si="32"/>
        <v>0.56739130434782614</v>
      </c>
      <c r="BC24" s="3">
        <f t="shared" si="33"/>
        <v>0.52200000000000002</v>
      </c>
      <c r="BD24" s="3">
        <f t="shared" si="34"/>
        <v>0.48333333333333334</v>
      </c>
      <c r="BE24" s="3">
        <f t="shared" si="35"/>
        <v>0.45</v>
      </c>
      <c r="BF24" s="3">
        <f t="shared" si="36"/>
        <v>0.42096774193548386</v>
      </c>
      <c r="BG24" s="3">
        <f t="shared" si="37"/>
        <v>0.39545454545454545</v>
      </c>
      <c r="BI24" s="3">
        <f t="shared" si="38"/>
        <v>0.10235294117647058</v>
      </c>
      <c r="BJ24" s="3">
        <f t="shared" si="39"/>
        <v>0.1831578947368421</v>
      </c>
      <c r="BK24" s="3">
        <f t="shared" si="40"/>
        <v>0.24857142857142858</v>
      </c>
      <c r="BL24" s="3">
        <f t="shared" si="41"/>
        <v>0.30260869565217391</v>
      </c>
      <c r="BM24" s="3">
        <f t="shared" si="42"/>
        <v>0.34799999999999998</v>
      </c>
      <c r="BN24" s="3">
        <f t="shared" si="43"/>
        <v>0.38666666666666671</v>
      </c>
      <c r="BO24" s="3">
        <f t="shared" si="44"/>
        <v>0.42</v>
      </c>
      <c r="BP24" s="3">
        <f t="shared" si="45"/>
        <v>0.44903225806451608</v>
      </c>
      <c r="BQ24" s="3">
        <f t="shared" si="46"/>
        <v>0.47454545454545455</v>
      </c>
      <c r="BR24" s="3"/>
      <c r="BT24">
        <v>150</v>
      </c>
      <c r="BU24" s="5">
        <f t="shared" si="47"/>
        <v>150</v>
      </c>
      <c r="BV24" s="3">
        <f t="shared" si="48"/>
        <v>0.73304750000000007</v>
      </c>
      <c r="BW24" s="4">
        <f t="shared" si="59"/>
        <v>219.91425000000001</v>
      </c>
      <c r="BX24" s="4">
        <f t="shared" si="49"/>
        <v>670.13249999999994</v>
      </c>
      <c r="BY24" s="3">
        <f t="shared" si="60"/>
        <v>0.3281653255139842</v>
      </c>
    </row>
    <row r="25" spans="2:77" x14ac:dyDescent="0.25">
      <c r="B25">
        <v>170</v>
      </c>
      <c r="C25" s="3">
        <f t="shared" si="4"/>
        <v>0.54702941176470588</v>
      </c>
      <c r="D25" s="4">
        <f t="shared" si="50"/>
        <v>92.995000000000005</v>
      </c>
      <c r="E25" s="4">
        <f t="shared" si="5"/>
        <v>284.61</v>
      </c>
      <c r="F25" s="3">
        <f t="shared" si="51"/>
        <v>0.32674537085836758</v>
      </c>
      <c r="H25">
        <f t="shared" si="52"/>
        <v>170</v>
      </c>
      <c r="I25" s="3">
        <f t="shared" si="6"/>
        <v>0.9914705882352941</v>
      </c>
      <c r="J25" s="4">
        <f t="shared" si="53"/>
        <v>168.55</v>
      </c>
      <c r="K25" s="4">
        <f t="shared" si="7"/>
        <v>512.00450000000001</v>
      </c>
      <c r="L25" s="3">
        <f t="shared" si="54"/>
        <v>0.3291963254229211</v>
      </c>
      <c r="M25" s="3"/>
      <c r="N25">
        <f t="shared" si="55"/>
        <v>170</v>
      </c>
      <c r="O25" s="3">
        <f t="shared" si="8"/>
        <v>0.99147058823529421</v>
      </c>
      <c r="P25" s="4">
        <f t="shared" si="56"/>
        <v>168.55</v>
      </c>
      <c r="Q25" s="4">
        <f t="shared" si="9"/>
        <v>458.51599999999996</v>
      </c>
      <c r="R25" s="3">
        <f t="shared" si="57"/>
        <v>0.36759894965497392</v>
      </c>
      <c r="T25">
        <f t="shared" si="58"/>
        <v>170</v>
      </c>
      <c r="U25" s="3">
        <f t="shared" si="10"/>
        <v>0.3979429072723431</v>
      </c>
      <c r="V25" s="3">
        <f t="shared" si="10"/>
        <v>0.38237310524554102</v>
      </c>
      <c r="W25" s="3">
        <f t="shared" si="10"/>
        <v>0.36874681267197568</v>
      </c>
      <c r="X25" s="3">
        <f t="shared" si="10"/>
        <v>0.35672150776988892</v>
      </c>
      <c r="Y25" s="3">
        <f t="shared" si="10"/>
        <v>0.34603069028224104</v>
      </c>
      <c r="Z25" s="3">
        <f t="shared" si="10"/>
        <v>0.3364638993259445</v>
      </c>
      <c r="AA25" s="3">
        <f t="shared" si="10"/>
        <v>0.32785271919242653</v>
      </c>
      <c r="AB25" s="3">
        <f t="shared" si="10"/>
        <v>0.32006077923852966</v>
      </c>
      <c r="AC25" s="3">
        <f t="shared" si="10"/>
        <v>0.31297647831103753</v>
      </c>
      <c r="AE25" s="4">
        <f t="shared" si="11"/>
        <v>468.50099999999998</v>
      </c>
      <c r="AF25" s="4">
        <f t="shared" si="12"/>
        <v>501.91200000000003</v>
      </c>
      <c r="AG25" s="4">
        <f t="shared" si="13"/>
        <v>535.32299999999998</v>
      </c>
      <c r="AH25" s="4">
        <f t="shared" si="14"/>
        <v>568.73399999999992</v>
      </c>
      <c r="AI25" s="4">
        <f t="shared" si="15"/>
        <v>602.14499999999998</v>
      </c>
      <c r="AJ25" s="4">
        <f t="shared" si="16"/>
        <v>635.55600000000004</v>
      </c>
      <c r="AK25" s="4">
        <f t="shared" si="17"/>
        <v>668.96699999999998</v>
      </c>
      <c r="AL25" s="4">
        <f t="shared" si="18"/>
        <v>702.37799999999993</v>
      </c>
      <c r="AM25" s="4">
        <f t="shared" si="19"/>
        <v>735.78899999999999</v>
      </c>
      <c r="AO25" s="3">
        <f t="shared" si="20"/>
        <v>0.98124552631578954</v>
      </c>
      <c r="AP25" s="3">
        <f t="shared" si="21"/>
        <v>0.91389357142857142</v>
      </c>
      <c r="AQ25" s="3">
        <f t="shared" si="22"/>
        <v>0.8582550000000001</v>
      </c>
      <c r="AR25" s="3">
        <f t="shared" si="23"/>
        <v>0.81151859999999987</v>
      </c>
      <c r="AS25" s="3">
        <f t="shared" si="24"/>
        <v>0.7717061111111112</v>
      </c>
      <c r="AT25" s="3">
        <f t="shared" si="25"/>
        <v>0.73738500000000007</v>
      </c>
      <c r="AU25" s="3">
        <f t="shared" si="26"/>
        <v>0.70749241935483864</v>
      </c>
      <c r="AV25" s="3">
        <f t="shared" si="27"/>
        <v>0.68122318181818176</v>
      </c>
      <c r="AW25" s="3">
        <f t="shared" si="28"/>
        <v>0.65795614285714277</v>
      </c>
      <c r="AY25" s="3">
        <f t="shared" si="29"/>
        <v>0.77842105263157901</v>
      </c>
      <c r="AZ25" s="3">
        <f t="shared" si="30"/>
        <v>0.70428571428571429</v>
      </c>
      <c r="BA25" s="3">
        <f t="shared" si="31"/>
        <v>0.64304347826086961</v>
      </c>
      <c r="BB25" s="3">
        <f t="shared" si="32"/>
        <v>0.59160000000000001</v>
      </c>
      <c r="BC25" s="3">
        <f t="shared" si="33"/>
        <v>0.54777777777777781</v>
      </c>
      <c r="BD25" s="3">
        <f t="shared" si="34"/>
        <v>0.51</v>
      </c>
      <c r="BE25" s="3">
        <f t="shared" si="35"/>
        <v>0.4770967741935484</v>
      </c>
      <c r="BF25" s="3">
        <f t="shared" si="36"/>
        <v>0.44818181818181818</v>
      </c>
      <c r="BG25" s="3">
        <f t="shared" si="37"/>
        <v>0.4225714285714286</v>
      </c>
      <c r="BI25" s="3">
        <f t="shared" si="38"/>
        <v>9.1578947368421051E-2</v>
      </c>
      <c r="BJ25" s="3">
        <f t="shared" si="39"/>
        <v>0.1657142857142857</v>
      </c>
      <c r="BK25" s="3">
        <f t="shared" si="40"/>
        <v>0.22695652173913045</v>
      </c>
      <c r="BL25" s="3">
        <f t="shared" si="41"/>
        <v>0.27839999999999998</v>
      </c>
      <c r="BM25" s="3">
        <f t="shared" si="42"/>
        <v>0.32222222222222224</v>
      </c>
      <c r="BN25" s="3">
        <f t="shared" si="43"/>
        <v>0.36000000000000004</v>
      </c>
      <c r="BO25" s="3">
        <f t="shared" si="44"/>
        <v>0.39290322580645159</v>
      </c>
      <c r="BP25" s="3">
        <f t="shared" si="45"/>
        <v>0.42181818181818176</v>
      </c>
      <c r="BQ25" s="3">
        <f t="shared" si="46"/>
        <v>0.4474285714285714</v>
      </c>
      <c r="BR25" s="3"/>
      <c r="BT25">
        <v>170</v>
      </c>
      <c r="BU25" s="5">
        <f t="shared" si="47"/>
        <v>170</v>
      </c>
      <c r="BV25" s="3">
        <f t="shared" si="48"/>
        <v>0.6692475</v>
      </c>
      <c r="BW25" s="4">
        <f t="shared" si="59"/>
        <v>227.54415</v>
      </c>
      <c r="BX25" s="4">
        <f t="shared" si="49"/>
        <v>719.08349999999996</v>
      </c>
      <c r="BY25" s="3">
        <f t="shared" si="60"/>
        <v>0.31643633875620847</v>
      </c>
    </row>
    <row r="26" spans="2:77" x14ac:dyDescent="0.25">
      <c r="B26">
        <v>190</v>
      </c>
      <c r="C26" s="3">
        <f t="shared" si="4"/>
        <v>0.50244736842105264</v>
      </c>
      <c r="D26" s="4">
        <f t="shared" si="50"/>
        <v>95.465000000000003</v>
      </c>
      <c r="E26" s="4">
        <f t="shared" si="5"/>
        <v>289.27</v>
      </c>
      <c r="F26" s="3">
        <f t="shared" si="51"/>
        <v>0.3300203961696685</v>
      </c>
      <c r="H26">
        <f t="shared" si="52"/>
        <v>190</v>
      </c>
      <c r="I26" s="3">
        <f t="shared" si="6"/>
        <v>0.92026315789473689</v>
      </c>
      <c r="J26" s="4">
        <f t="shared" si="53"/>
        <v>174.85000000000002</v>
      </c>
      <c r="K26" s="4">
        <f t="shared" si="7"/>
        <v>535.18150000000003</v>
      </c>
      <c r="L26" s="3">
        <f t="shared" si="54"/>
        <v>0.32671159223553131</v>
      </c>
      <c r="M26" s="3"/>
      <c r="N26">
        <f t="shared" si="55"/>
        <v>190</v>
      </c>
      <c r="O26" s="3">
        <f t="shared" si="8"/>
        <v>0.92026315789473678</v>
      </c>
      <c r="P26" s="4">
        <f t="shared" si="56"/>
        <v>174.85</v>
      </c>
      <c r="Q26" s="4">
        <f t="shared" si="9"/>
        <v>478.81200000000001</v>
      </c>
      <c r="R26" s="3">
        <f t="shared" si="57"/>
        <v>0.36517464056874094</v>
      </c>
      <c r="T26">
        <f t="shared" si="58"/>
        <v>190</v>
      </c>
      <c r="U26" s="3">
        <f t="shared" si="10"/>
        <v>0.3896065622540239</v>
      </c>
      <c r="V26" s="3">
        <f t="shared" si="10"/>
        <v>0.37504261264812971</v>
      </c>
      <c r="W26" s="3">
        <f t="shared" si="10"/>
        <v>0.3622453314163413</v>
      </c>
      <c r="X26" s="3">
        <f t="shared" si="10"/>
        <v>0.35091164419433346</v>
      </c>
      <c r="Y26" s="3">
        <f t="shared" si="10"/>
        <v>0.34080405060831981</v>
      </c>
      <c r="Z26" s="3">
        <f t="shared" si="10"/>
        <v>0.33173379962401861</v>
      </c>
      <c r="AA26" s="3">
        <f t="shared" si="10"/>
        <v>0.32354899219438221</v>
      </c>
      <c r="AB26" s="3">
        <f t="shared" si="10"/>
        <v>0.31612600603411534</v>
      </c>
      <c r="AC26" s="3">
        <f t="shared" si="10"/>
        <v>0.30936320839472459</v>
      </c>
      <c r="AE26" s="4">
        <f t="shared" si="11"/>
        <v>484.041</v>
      </c>
      <c r="AF26" s="4">
        <f t="shared" si="12"/>
        <v>517.452</v>
      </c>
      <c r="AG26" s="4">
        <f t="shared" si="13"/>
        <v>550.86300000000006</v>
      </c>
      <c r="AH26" s="4">
        <f t="shared" si="14"/>
        <v>584.274</v>
      </c>
      <c r="AI26" s="4">
        <f t="shared" si="15"/>
        <v>617.68499999999995</v>
      </c>
      <c r="AJ26" s="4">
        <f t="shared" si="16"/>
        <v>651.096</v>
      </c>
      <c r="AK26" s="4">
        <f t="shared" si="17"/>
        <v>684.50700000000006</v>
      </c>
      <c r="AL26" s="4">
        <f t="shared" si="18"/>
        <v>717.91800000000001</v>
      </c>
      <c r="AM26" s="4">
        <f t="shared" si="19"/>
        <v>751.32899999999995</v>
      </c>
      <c r="AO26" s="3">
        <f t="shared" si="20"/>
        <v>0.89802642857142856</v>
      </c>
      <c r="AP26" s="3">
        <f t="shared" si="21"/>
        <v>0.84376760869565215</v>
      </c>
      <c r="AQ26" s="3">
        <f t="shared" si="22"/>
        <v>0.79819020000000007</v>
      </c>
      <c r="AR26" s="3">
        <f t="shared" si="23"/>
        <v>0.75936499999999996</v>
      </c>
      <c r="AS26" s="3">
        <f t="shared" si="24"/>
        <v>0.72589499999999996</v>
      </c>
      <c r="AT26" s="3">
        <f t="shared" si="25"/>
        <v>0.69674370967741939</v>
      </c>
      <c r="AU26" s="3">
        <f t="shared" si="26"/>
        <v>0.67112590909090908</v>
      </c>
      <c r="AV26" s="3">
        <f t="shared" si="27"/>
        <v>0.64843585714285712</v>
      </c>
      <c r="AW26" s="3">
        <f t="shared" si="28"/>
        <v>0.6281987837837838</v>
      </c>
      <c r="AY26" s="3">
        <f t="shared" si="29"/>
        <v>0.78714285714285714</v>
      </c>
      <c r="AZ26" s="3">
        <f t="shared" si="30"/>
        <v>0.71869565217391307</v>
      </c>
      <c r="BA26" s="3">
        <f t="shared" si="31"/>
        <v>0.66120000000000001</v>
      </c>
      <c r="BB26" s="3">
        <f t="shared" si="32"/>
        <v>0.61222222222222222</v>
      </c>
      <c r="BC26" s="3">
        <f t="shared" si="33"/>
        <v>0.57000000000000006</v>
      </c>
      <c r="BD26" s="3">
        <f t="shared" si="34"/>
        <v>0.53322580645161299</v>
      </c>
      <c r="BE26" s="3">
        <f t="shared" si="35"/>
        <v>0.50090909090909097</v>
      </c>
      <c r="BF26" s="3">
        <f t="shared" si="36"/>
        <v>0.47228571428571431</v>
      </c>
      <c r="BG26" s="3">
        <f t="shared" si="37"/>
        <v>0.4467567567567568</v>
      </c>
      <c r="BI26" s="3">
        <f t="shared" si="38"/>
        <v>8.2857142857142851E-2</v>
      </c>
      <c r="BJ26" s="3">
        <f t="shared" si="39"/>
        <v>0.15130434782608695</v>
      </c>
      <c r="BK26" s="3">
        <f t="shared" si="40"/>
        <v>0.20880000000000001</v>
      </c>
      <c r="BL26" s="3">
        <f t="shared" si="41"/>
        <v>0.25777777777777777</v>
      </c>
      <c r="BM26" s="3">
        <f t="shared" si="42"/>
        <v>0.3</v>
      </c>
      <c r="BN26" s="3">
        <f t="shared" si="43"/>
        <v>0.33677419354838711</v>
      </c>
      <c r="BO26" s="3">
        <f t="shared" si="44"/>
        <v>0.36909090909090908</v>
      </c>
      <c r="BP26" s="3">
        <f t="shared" si="45"/>
        <v>0.39771428571428569</v>
      </c>
      <c r="BQ26" s="3">
        <f t="shared" si="46"/>
        <v>0.42324324324324325</v>
      </c>
      <c r="BR26" s="3"/>
      <c r="BT26">
        <v>190</v>
      </c>
      <c r="BU26" s="5">
        <f t="shared" si="47"/>
        <v>190</v>
      </c>
      <c r="BV26" s="3">
        <f t="shared" si="48"/>
        <v>0.61887907894736849</v>
      </c>
      <c r="BW26" s="4">
        <f t="shared" si="59"/>
        <v>235.17405000000002</v>
      </c>
      <c r="BX26" s="4">
        <f t="shared" si="49"/>
        <v>768.03449999999998</v>
      </c>
      <c r="BY26" s="3">
        <f t="shared" si="60"/>
        <v>0.30620245574905819</v>
      </c>
    </row>
    <row r="27" spans="2:77" x14ac:dyDescent="0.25">
      <c r="B27">
        <v>220</v>
      </c>
      <c r="C27" s="3">
        <f t="shared" si="4"/>
        <v>0.45077272727272727</v>
      </c>
      <c r="D27" s="4">
        <f t="shared" si="50"/>
        <v>99.17</v>
      </c>
      <c r="E27" s="4">
        <f t="shared" si="5"/>
        <v>296.26</v>
      </c>
      <c r="F27" s="3">
        <f t="shared" si="51"/>
        <v>0.33473975562006347</v>
      </c>
      <c r="H27">
        <f t="shared" si="52"/>
        <v>220</v>
      </c>
      <c r="I27" s="3">
        <f t="shared" si="6"/>
        <v>0.83772727272727265</v>
      </c>
      <c r="J27" s="4">
        <f t="shared" si="53"/>
        <v>184.29999999999998</v>
      </c>
      <c r="K27" s="4">
        <f t="shared" si="7"/>
        <v>569.947</v>
      </c>
      <c r="L27" s="3">
        <f t="shared" si="54"/>
        <v>0.32336340045653367</v>
      </c>
      <c r="M27" s="3"/>
      <c r="N27">
        <f t="shared" si="55"/>
        <v>220</v>
      </c>
      <c r="O27" s="3">
        <f t="shared" si="8"/>
        <v>0.83772727272727276</v>
      </c>
      <c r="P27" s="4">
        <f t="shared" si="56"/>
        <v>184.3</v>
      </c>
      <c r="Q27" s="4">
        <f t="shared" si="9"/>
        <v>509.25599999999997</v>
      </c>
      <c r="R27" s="3">
        <f t="shared" si="57"/>
        <v>0.36190049798136892</v>
      </c>
      <c r="T27">
        <f t="shared" si="58"/>
        <v>220</v>
      </c>
      <c r="U27" s="3">
        <f t="shared" si="10"/>
        <v>0.3780595682279132</v>
      </c>
      <c r="V27" s="3">
        <f t="shared" si="10"/>
        <v>0.3648368413461005</v>
      </c>
      <c r="W27" s="3">
        <f t="shared" si="10"/>
        <v>0.35315296957537196</v>
      </c>
      <c r="X27" s="3">
        <f t="shared" si="10"/>
        <v>0.34275408832358978</v>
      </c>
      <c r="Y27" s="3">
        <f t="shared" si="10"/>
        <v>0.33343926239674254</v>
      </c>
      <c r="Z27" s="3">
        <f t="shared" si="10"/>
        <v>0.32504737502335396</v>
      </c>
      <c r="AA27" s="3">
        <f t="shared" si="10"/>
        <v>0.3174477301336362</v>
      </c>
      <c r="AB27" s="3">
        <f t="shared" si="10"/>
        <v>0.31053319626349779</v>
      </c>
      <c r="AC27" s="3">
        <f t="shared" si="10"/>
        <v>0.3042151247226127</v>
      </c>
      <c r="AE27" s="4">
        <f t="shared" si="11"/>
        <v>507.351</v>
      </c>
      <c r="AF27" s="4">
        <f t="shared" si="12"/>
        <v>540.76199999999994</v>
      </c>
      <c r="AG27" s="4">
        <f t="shared" si="13"/>
        <v>574.173</v>
      </c>
      <c r="AH27" s="4">
        <f t="shared" si="14"/>
        <v>607.58400000000006</v>
      </c>
      <c r="AI27" s="4">
        <f t="shared" si="15"/>
        <v>640.995</v>
      </c>
      <c r="AJ27" s="4">
        <f t="shared" si="16"/>
        <v>674.40599999999995</v>
      </c>
      <c r="AK27" s="4">
        <f t="shared" si="17"/>
        <v>707.81700000000001</v>
      </c>
      <c r="AL27" s="4">
        <f t="shared" si="18"/>
        <v>741.22800000000007</v>
      </c>
      <c r="AM27" s="4">
        <f t="shared" si="19"/>
        <v>774.63900000000001</v>
      </c>
      <c r="AO27" s="3">
        <f t="shared" si="20"/>
        <v>0.79920374999999999</v>
      </c>
      <c r="AP27" s="3">
        <f t="shared" si="21"/>
        <v>0.75880730769230764</v>
      </c>
      <c r="AQ27" s="3">
        <f t="shared" si="22"/>
        <v>0.72418178571428582</v>
      </c>
      <c r="AR27" s="3">
        <f t="shared" si="23"/>
        <v>0.69417299999999993</v>
      </c>
      <c r="AS27" s="3">
        <f t="shared" si="24"/>
        <v>0.66791531249999991</v>
      </c>
      <c r="AT27" s="3">
        <f t="shared" si="25"/>
        <v>0.64474676470588244</v>
      </c>
      <c r="AU27" s="3">
        <f t="shared" si="26"/>
        <v>0.6241525</v>
      </c>
      <c r="AV27" s="3">
        <f t="shared" si="27"/>
        <v>0.60572605263157886</v>
      </c>
      <c r="AW27" s="3">
        <f t="shared" si="28"/>
        <v>0.58914224999999998</v>
      </c>
      <c r="AY27" s="3">
        <f t="shared" si="29"/>
        <v>0.79749999999999999</v>
      </c>
      <c r="AZ27" s="3">
        <f t="shared" si="30"/>
        <v>0.73615384615384616</v>
      </c>
      <c r="BA27" s="3">
        <f t="shared" si="31"/>
        <v>0.68357142857142861</v>
      </c>
      <c r="BB27" s="3">
        <f t="shared" si="32"/>
        <v>0.63800000000000001</v>
      </c>
      <c r="BC27" s="3">
        <f t="shared" si="33"/>
        <v>0.59812500000000002</v>
      </c>
      <c r="BD27" s="3">
        <f t="shared" si="34"/>
        <v>0.56294117647058828</v>
      </c>
      <c r="BE27" s="3">
        <f t="shared" si="35"/>
        <v>0.53166666666666673</v>
      </c>
      <c r="BF27" s="3">
        <f t="shared" si="36"/>
        <v>0.50368421052631585</v>
      </c>
      <c r="BG27" s="3">
        <f t="shared" si="37"/>
        <v>0.47850000000000004</v>
      </c>
      <c r="BI27" s="3">
        <f t="shared" si="38"/>
        <v>7.2499999999999995E-2</v>
      </c>
      <c r="BJ27" s="3">
        <f t="shared" si="39"/>
        <v>0.13384615384615384</v>
      </c>
      <c r="BK27" s="3">
        <f t="shared" si="40"/>
        <v>0.18642857142857144</v>
      </c>
      <c r="BL27" s="3">
        <f t="shared" si="41"/>
        <v>0.23199999999999998</v>
      </c>
      <c r="BM27" s="3">
        <f t="shared" si="42"/>
        <v>0.27187499999999998</v>
      </c>
      <c r="BN27" s="3">
        <f t="shared" si="43"/>
        <v>0.30705882352941177</v>
      </c>
      <c r="BO27" s="3">
        <f t="shared" si="44"/>
        <v>0.33833333333333332</v>
      </c>
      <c r="BP27" s="3">
        <f t="shared" si="45"/>
        <v>0.36631578947368421</v>
      </c>
      <c r="BQ27" s="3">
        <f t="shared" si="46"/>
        <v>0.39149999999999996</v>
      </c>
      <c r="BR27" s="3"/>
      <c r="BT27">
        <v>220</v>
      </c>
      <c r="BU27" s="5">
        <f t="shared" si="47"/>
        <v>220</v>
      </c>
      <c r="BV27" s="3">
        <f t="shared" si="48"/>
        <v>0.56049749999999998</v>
      </c>
      <c r="BW27" s="4">
        <f t="shared" si="59"/>
        <v>246.6189</v>
      </c>
      <c r="BX27" s="4">
        <f t="shared" si="49"/>
        <v>841.46100000000001</v>
      </c>
      <c r="BY27" s="3">
        <f t="shared" si="60"/>
        <v>0.29308417145892679</v>
      </c>
    </row>
    <row r="28" spans="2:77" x14ac:dyDescent="0.25">
      <c r="B28">
        <v>250</v>
      </c>
      <c r="C28" s="3">
        <f t="shared" si="4"/>
        <v>0.41149999999999998</v>
      </c>
      <c r="D28" s="4">
        <f t="shared" si="50"/>
        <v>102.875</v>
      </c>
      <c r="E28" s="4">
        <f t="shared" si="5"/>
        <v>303.25</v>
      </c>
      <c r="F28" s="3">
        <f t="shared" si="51"/>
        <v>0.33924154987633964</v>
      </c>
      <c r="H28">
        <f t="shared" si="52"/>
        <v>250</v>
      </c>
      <c r="I28" s="3">
        <f t="shared" si="6"/>
        <v>0.77500000000000002</v>
      </c>
      <c r="J28" s="4">
        <f t="shared" si="53"/>
        <v>193.75</v>
      </c>
      <c r="K28" s="4">
        <f t="shared" si="7"/>
        <v>604.71250000000009</v>
      </c>
      <c r="L28" s="3">
        <f t="shared" si="54"/>
        <v>0.32040019017301608</v>
      </c>
      <c r="M28" s="3"/>
      <c r="N28">
        <f t="shared" si="55"/>
        <v>250</v>
      </c>
      <c r="O28" s="3">
        <f t="shared" si="8"/>
        <v>0.77500000000000002</v>
      </c>
      <c r="P28" s="4">
        <f t="shared" si="56"/>
        <v>193.75</v>
      </c>
      <c r="Q28" s="4">
        <f t="shared" si="9"/>
        <v>539.70000000000005</v>
      </c>
      <c r="R28" s="3">
        <f t="shared" si="57"/>
        <v>0.35899573837317023</v>
      </c>
      <c r="T28">
        <f t="shared" si="58"/>
        <v>250</v>
      </c>
      <c r="U28" s="3">
        <f t="shared" si="10"/>
        <v>0.36752700876830968</v>
      </c>
      <c r="V28" s="3">
        <f t="shared" si="10"/>
        <v>0.3554745670765434</v>
      </c>
      <c r="W28" s="3">
        <f t="shared" si="10"/>
        <v>0.34477006040339231</v>
      </c>
      <c r="X28" s="3">
        <f t="shared" si="10"/>
        <v>0.33519933618008724</v>
      </c>
      <c r="Y28" s="3">
        <f t="shared" si="10"/>
        <v>0.32659132476799058</v>
      </c>
      <c r="Z28" s="3">
        <f t="shared" si="10"/>
        <v>0.31880772405964602</v>
      </c>
      <c r="AA28" s="3">
        <f t="shared" si="10"/>
        <v>0.3117355124349121</v>
      </c>
      <c r="AB28" s="3">
        <f t="shared" si="10"/>
        <v>0.30528142486050397</v>
      </c>
      <c r="AC28" s="3">
        <f t="shared" si="10"/>
        <v>0.29936781674016749</v>
      </c>
      <c r="AE28" s="4">
        <f t="shared" si="11"/>
        <v>530.66100000000006</v>
      </c>
      <c r="AF28" s="4">
        <f t="shared" si="12"/>
        <v>564.072</v>
      </c>
      <c r="AG28" s="4">
        <f t="shared" si="13"/>
        <v>597.48299999999995</v>
      </c>
      <c r="AH28" s="4">
        <f t="shared" si="14"/>
        <v>630.89400000000001</v>
      </c>
      <c r="AI28" s="4">
        <f t="shared" si="15"/>
        <v>664.30500000000006</v>
      </c>
      <c r="AJ28" s="4">
        <f t="shared" si="16"/>
        <v>697.71600000000001</v>
      </c>
      <c r="AK28" s="4">
        <f t="shared" si="17"/>
        <v>731.12699999999995</v>
      </c>
      <c r="AL28" s="4">
        <f t="shared" si="18"/>
        <v>764.53800000000001</v>
      </c>
      <c r="AM28" s="4">
        <f t="shared" si="19"/>
        <v>797.94900000000007</v>
      </c>
      <c r="AO28" s="3">
        <f t="shared" si="20"/>
        <v>0.72234166666666666</v>
      </c>
      <c r="AP28" s="3">
        <f t="shared" si="21"/>
        <v>0.69142499999999996</v>
      </c>
      <c r="AQ28" s="3">
        <f t="shared" si="22"/>
        <v>0.6644975806451614</v>
      </c>
      <c r="AR28" s="3">
        <f t="shared" si="23"/>
        <v>0.64083409090909083</v>
      </c>
      <c r="AS28" s="3">
        <f t="shared" si="24"/>
        <v>0.61987499999999995</v>
      </c>
      <c r="AT28" s="3">
        <f t="shared" si="25"/>
        <v>0.60118175675675678</v>
      </c>
      <c r="AU28" s="3">
        <f t="shared" si="26"/>
        <v>0.58440576923076915</v>
      </c>
      <c r="AV28" s="3">
        <f t="shared" si="27"/>
        <v>0.56926646341463405</v>
      </c>
      <c r="AW28" s="3">
        <f t="shared" si="28"/>
        <v>0.55553546511627894</v>
      </c>
      <c r="AY28" s="3">
        <f t="shared" si="29"/>
        <v>0.80555555555555558</v>
      </c>
      <c r="AZ28" s="3">
        <f t="shared" si="30"/>
        <v>0.75</v>
      </c>
      <c r="BA28" s="3">
        <f t="shared" si="31"/>
        <v>0.70161290322580649</v>
      </c>
      <c r="BB28" s="3">
        <f t="shared" si="32"/>
        <v>0.65909090909090906</v>
      </c>
      <c r="BC28" s="3">
        <f t="shared" si="33"/>
        <v>0.62142857142857144</v>
      </c>
      <c r="BD28" s="3">
        <f t="shared" si="34"/>
        <v>0.58783783783783783</v>
      </c>
      <c r="BE28" s="3">
        <f t="shared" si="35"/>
        <v>0.55769230769230771</v>
      </c>
      <c r="BF28" s="3">
        <f t="shared" si="36"/>
        <v>0.53048780487804881</v>
      </c>
      <c r="BG28" s="3">
        <f t="shared" si="37"/>
        <v>0.5058139534883721</v>
      </c>
      <c r="BI28" s="3">
        <f t="shared" si="38"/>
        <v>6.4444444444444443E-2</v>
      </c>
      <c r="BJ28" s="3">
        <f t="shared" si="39"/>
        <v>0.12</v>
      </c>
      <c r="BK28" s="3">
        <f t="shared" si="40"/>
        <v>0.16838709677419356</v>
      </c>
      <c r="BL28" s="3">
        <f t="shared" si="41"/>
        <v>0.21090909090909088</v>
      </c>
      <c r="BM28" s="3">
        <f t="shared" si="42"/>
        <v>0.24857142857142858</v>
      </c>
      <c r="BN28" s="3">
        <f t="shared" si="43"/>
        <v>0.28216216216216217</v>
      </c>
      <c r="BO28" s="3">
        <f t="shared" si="44"/>
        <v>0.31230769230769229</v>
      </c>
      <c r="BP28" s="3">
        <f t="shared" si="45"/>
        <v>0.33951219512195119</v>
      </c>
      <c r="BQ28" s="3">
        <f t="shared" si="46"/>
        <v>0.36418604651162789</v>
      </c>
      <c r="BR28" s="3"/>
      <c r="BT28">
        <v>250</v>
      </c>
      <c r="BU28" s="5">
        <f t="shared" si="47"/>
        <v>250</v>
      </c>
      <c r="BV28" s="3">
        <f t="shared" si="48"/>
        <v>0.51612749999999996</v>
      </c>
      <c r="BW28" s="4">
        <f t="shared" si="59"/>
        <v>258.06374999999997</v>
      </c>
      <c r="BX28" s="4">
        <f t="shared" si="49"/>
        <v>914.88750000000005</v>
      </c>
      <c r="BY28" s="3">
        <f t="shared" si="60"/>
        <v>0.28207156617616913</v>
      </c>
    </row>
    <row r="29" spans="2:77" x14ac:dyDescent="0.25">
      <c r="B29">
        <v>280</v>
      </c>
      <c r="C29" s="3">
        <f t="shared" si="4"/>
        <v>0.38064285714285712</v>
      </c>
      <c r="D29" s="4">
        <f t="shared" si="50"/>
        <v>106.58</v>
      </c>
      <c r="E29" s="4">
        <f t="shared" si="5"/>
        <v>310.24</v>
      </c>
      <c r="F29" s="3">
        <f t="shared" si="51"/>
        <v>0.34354048478597216</v>
      </c>
      <c r="H29">
        <f t="shared" si="52"/>
        <v>280</v>
      </c>
      <c r="I29" s="3">
        <f t="shared" si="6"/>
        <v>0.72571428571428576</v>
      </c>
      <c r="J29" s="4">
        <f t="shared" si="53"/>
        <v>203.20000000000002</v>
      </c>
      <c r="K29" s="4">
        <f t="shared" si="7"/>
        <v>639.47800000000007</v>
      </c>
      <c r="L29" s="3">
        <f t="shared" si="54"/>
        <v>0.31775917232492751</v>
      </c>
      <c r="M29" s="3"/>
      <c r="N29">
        <f t="shared" si="55"/>
        <v>280</v>
      </c>
      <c r="O29" s="3">
        <f t="shared" si="8"/>
        <v>0.72571428571428565</v>
      </c>
      <c r="P29" s="4">
        <f t="shared" si="56"/>
        <v>203.2</v>
      </c>
      <c r="Q29" s="4">
        <f t="shared" si="9"/>
        <v>570.14400000000001</v>
      </c>
      <c r="R29" s="3">
        <f t="shared" si="57"/>
        <v>0.3564011898748386</v>
      </c>
      <c r="T29">
        <f t="shared" si="58"/>
        <v>280</v>
      </c>
      <c r="U29" s="3">
        <f t="shared" si="10"/>
        <v>0.35788082769675666</v>
      </c>
      <c r="V29" s="3">
        <f t="shared" si="10"/>
        <v>0.34685536839739722</v>
      </c>
      <c r="W29" s="3">
        <f t="shared" si="10"/>
        <v>0.33701668672166085</v>
      </c>
      <c r="X29" s="3">
        <f t="shared" si="10"/>
        <v>0.3281829521066823</v>
      </c>
      <c r="Y29" s="40">
        <f t="shared" si="10"/>
        <v>0.32020767435265368</v>
      </c>
      <c r="Z29" s="3">
        <f t="shared" si="10"/>
        <v>0.31297151559028386</v>
      </c>
      <c r="AA29" s="3">
        <f t="shared" si="10"/>
        <v>0.30637627793970862</v>
      </c>
      <c r="AB29" s="3">
        <f t="shared" si="10"/>
        <v>0.3003404209949127</v>
      </c>
      <c r="AC29" s="3">
        <f t="shared" si="10"/>
        <v>0.29479567347207147</v>
      </c>
      <c r="AE29" s="4">
        <f t="shared" si="11"/>
        <v>553.971</v>
      </c>
      <c r="AF29" s="4">
        <f t="shared" si="12"/>
        <v>587.38200000000006</v>
      </c>
      <c r="AG29" s="4">
        <f t="shared" si="13"/>
        <v>620.79300000000001</v>
      </c>
      <c r="AH29" s="4">
        <f t="shared" si="14"/>
        <v>654.20399999999995</v>
      </c>
      <c r="AI29" s="4">
        <f t="shared" si="15"/>
        <v>687.61500000000001</v>
      </c>
      <c r="AJ29" s="4">
        <f t="shared" si="16"/>
        <v>721.02600000000007</v>
      </c>
      <c r="AK29" s="4">
        <f t="shared" si="17"/>
        <v>754.43700000000001</v>
      </c>
      <c r="AL29" s="4">
        <f t="shared" si="18"/>
        <v>787.84799999999996</v>
      </c>
      <c r="AM29" s="4">
        <f t="shared" si="19"/>
        <v>821.25900000000001</v>
      </c>
      <c r="AO29" s="3">
        <f t="shared" si="20"/>
        <v>0.66085199999999999</v>
      </c>
      <c r="AP29" s="3">
        <f t="shared" si="21"/>
        <v>0.63667687499999992</v>
      </c>
      <c r="AQ29" s="3">
        <f t="shared" si="22"/>
        <v>0.61534588235294119</v>
      </c>
      <c r="AR29" s="3">
        <f t="shared" si="23"/>
        <v>0.59638499999999994</v>
      </c>
      <c r="AS29" s="3">
        <f t="shared" si="24"/>
        <v>0.57941999999999994</v>
      </c>
      <c r="AT29" s="3">
        <f t="shared" si="25"/>
        <v>0.56415150000000003</v>
      </c>
      <c r="AU29" s="3">
        <f t="shared" si="26"/>
        <v>0.55033714285714275</v>
      </c>
      <c r="AV29" s="3">
        <f t="shared" si="27"/>
        <v>0.53777863636363632</v>
      </c>
      <c r="AW29" s="3">
        <f t="shared" si="28"/>
        <v>0.52631217391304341</v>
      </c>
      <c r="AY29" s="3">
        <f t="shared" si="29"/>
        <v>0.81199999999999994</v>
      </c>
      <c r="AZ29" s="3">
        <f t="shared" si="30"/>
        <v>0.76124999999999998</v>
      </c>
      <c r="BA29" s="3">
        <f t="shared" si="31"/>
        <v>0.71647058823529408</v>
      </c>
      <c r="BB29" s="3">
        <f t="shared" si="32"/>
        <v>0.67666666666666664</v>
      </c>
      <c r="BC29" s="3">
        <f t="shared" si="33"/>
        <v>0.64105263157894732</v>
      </c>
      <c r="BD29" s="3">
        <f t="shared" si="34"/>
        <v>0.60899999999999999</v>
      </c>
      <c r="BE29" s="3">
        <f t="shared" si="35"/>
        <v>0.57999999999999996</v>
      </c>
      <c r="BF29" s="3">
        <f t="shared" si="36"/>
        <v>0.55363636363636359</v>
      </c>
      <c r="BG29" s="3">
        <f t="shared" si="37"/>
        <v>0.52956521739130435</v>
      </c>
      <c r="BI29" s="3">
        <f t="shared" si="38"/>
        <v>5.7999999999999996E-2</v>
      </c>
      <c r="BJ29" s="3">
        <f t="shared" si="39"/>
        <v>0.10874999999999999</v>
      </c>
      <c r="BK29" s="3">
        <f t="shared" si="40"/>
        <v>0.15352941176470589</v>
      </c>
      <c r="BL29" s="3">
        <f t="shared" si="41"/>
        <v>0.19333333333333333</v>
      </c>
      <c r="BM29" s="3">
        <f t="shared" si="42"/>
        <v>0.22894736842105262</v>
      </c>
      <c r="BN29" s="3">
        <f t="shared" si="43"/>
        <v>0.26100000000000001</v>
      </c>
      <c r="BO29" s="3">
        <f t="shared" si="44"/>
        <v>0.28999999999999998</v>
      </c>
      <c r="BP29" s="3">
        <f t="shared" si="45"/>
        <v>0.31636363636363635</v>
      </c>
      <c r="BQ29" s="3">
        <f t="shared" si="46"/>
        <v>0.34043478260869564</v>
      </c>
      <c r="BR29" s="3"/>
      <c r="BT29">
        <v>280</v>
      </c>
      <c r="BU29" s="5">
        <f t="shared" si="47"/>
        <v>280</v>
      </c>
      <c r="BV29" s="3">
        <f t="shared" si="48"/>
        <v>0.48126535714285712</v>
      </c>
      <c r="BW29" s="4">
        <f t="shared" si="59"/>
        <v>269.5086</v>
      </c>
      <c r="BX29" s="4">
        <f t="shared" si="49"/>
        <v>988.31399999999996</v>
      </c>
      <c r="BY29" s="3">
        <f t="shared" si="60"/>
        <v>0.27269531748007214</v>
      </c>
    </row>
    <row r="30" spans="2:77" x14ac:dyDescent="0.25">
      <c r="B30">
        <v>310</v>
      </c>
      <c r="C30" s="3">
        <f t="shared" si="4"/>
        <v>0.35575806451612901</v>
      </c>
      <c r="D30" s="4">
        <f t="shared" si="50"/>
        <v>110.285</v>
      </c>
      <c r="E30" s="4">
        <f t="shared" si="5"/>
        <v>317.23</v>
      </c>
      <c r="F30" s="3">
        <f t="shared" si="51"/>
        <v>0.34764997005327364</v>
      </c>
      <c r="H30">
        <f t="shared" si="52"/>
        <v>310</v>
      </c>
      <c r="I30" s="3">
        <f t="shared" si="6"/>
        <v>0.68596774193548393</v>
      </c>
      <c r="J30" s="4">
        <f t="shared" si="53"/>
        <v>212.65</v>
      </c>
      <c r="K30" s="4">
        <f t="shared" si="7"/>
        <v>674.24350000000004</v>
      </c>
      <c r="L30" s="3">
        <f t="shared" si="54"/>
        <v>0.31539050802862761</v>
      </c>
      <c r="M30" s="3"/>
      <c r="N30">
        <f t="shared" si="55"/>
        <v>310</v>
      </c>
      <c r="O30" s="3">
        <f t="shared" si="8"/>
        <v>0.68596774193548393</v>
      </c>
      <c r="P30" s="4">
        <f t="shared" si="56"/>
        <v>212.65</v>
      </c>
      <c r="Q30" s="4">
        <f t="shared" si="9"/>
        <v>600.58799999999997</v>
      </c>
      <c r="R30" s="3">
        <f t="shared" si="57"/>
        <v>0.35406967838185249</v>
      </c>
      <c r="T30">
        <f t="shared" si="58"/>
        <v>310</v>
      </c>
      <c r="U30" s="3">
        <f t="shared" si="10"/>
        <v>0.34901365193034245</v>
      </c>
      <c r="V30" s="3">
        <f t="shared" si="10"/>
        <v>0.33889415613762741</v>
      </c>
      <c r="W30" s="3">
        <f t="shared" si="10"/>
        <v>0.32982450011876979</v>
      </c>
      <c r="X30" s="3">
        <f t="shared" si="10"/>
        <v>0.3216493681311382</v>
      </c>
      <c r="Y30" s="3">
        <f t="shared" si="10"/>
        <v>0.31424264162886378</v>
      </c>
      <c r="Z30" s="3">
        <f t="shared" si="10"/>
        <v>0.30750084639195197</v>
      </c>
      <c r="AA30" s="3">
        <f t="shared" si="10"/>
        <v>0.30133828867228024</v>
      </c>
      <c r="AB30" s="3">
        <f t="shared" si="10"/>
        <v>0.2956833933709585</v>
      </c>
      <c r="AC30" s="3">
        <f t="shared" si="10"/>
        <v>0.2904759113820185</v>
      </c>
      <c r="AE30" s="4">
        <f t="shared" si="11"/>
        <v>577.28099999999995</v>
      </c>
      <c r="AF30" s="4">
        <f t="shared" si="12"/>
        <v>610.69200000000001</v>
      </c>
      <c r="AG30" s="4">
        <f t="shared" si="13"/>
        <v>644.10300000000007</v>
      </c>
      <c r="AH30" s="4">
        <f t="shared" si="14"/>
        <v>677.51400000000001</v>
      </c>
      <c r="AI30" s="4">
        <f t="shared" si="15"/>
        <v>710.92499999999995</v>
      </c>
      <c r="AJ30" s="4">
        <f t="shared" si="16"/>
        <v>744.33600000000001</v>
      </c>
      <c r="AK30" s="4">
        <f t="shared" si="17"/>
        <v>777.74700000000007</v>
      </c>
      <c r="AL30" s="4">
        <f t="shared" si="18"/>
        <v>811.15800000000002</v>
      </c>
      <c r="AM30" s="4">
        <f t="shared" si="19"/>
        <v>844.56899999999996</v>
      </c>
      <c r="AO30" s="3">
        <f t="shared" si="20"/>
        <v>0.61054227272727268</v>
      </c>
      <c r="AP30" s="3">
        <f t="shared" si="21"/>
        <v>0.59131414285714279</v>
      </c>
      <c r="AQ30" s="3">
        <f t="shared" si="22"/>
        <v>0.57416472972972976</v>
      </c>
      <c r="AR30" s="3">
        <f t="shared" si="23"/>
        <v>0.55877423076923072</v>
      </c>
      <c r="AS30" s="3">
        <f t="shared" si="24"/>
        <v>0.54488524390243898</v>
      </c>
      <c r="AT30" s="3">
        <f t="shared" si="25"/>
        <v>0.53228825581395345</v>
      </c>
      <c r="AU30" s="3">
        <f t="shared" si="26"/>
        <v>0.52081099999999991</v>
      </c>
      <c r="AV30" s="3">
        <f t="shared" si="27"/>
        <v>0.51031053191489351</v>
      </c>
      <c r="AW30" s="3">
        <f t="shared" si="28"/>
        <v>0.50066724489795911</v>
      </c>
      <c r="AY30" s="3">
        <f t="shared" si="29"/>
        <v>0.81727272727272726</v>
      </c>
      <c r="AZ30" s="3">
        <f t="shared" si="30"/>
        <v>0.77057142857142857</v>
      </c>
      <c r="BA30" s="3">
        <f t="shared" si="31"/>
        <v>0.72891891891891891</v>
      </c>
      <c r="BB30" s="3">
        <f t="shared" si="32"/>
        <v>0.69153846153846155</v>
      </c>
      <c r="BC30" s="3">
        <f t="shared" si="33"/>
        <v>0.65780487804878041</v>
      </c>
      <c r="BD30" s="3">
        <f t="shared" si="34"/>
        <v>0.62720930232558136</v>
      </c>
      <c r="BE30" s="3">
        <f t="shared" si="35"/>
        <v>0.59933333333333327</v>
      </c>
      <c r="BF30" s="3">
        <f t="shared" si="36"/>
        <v>0.57382978723404254</v>
      </c>
      <c r="BG30" s="3">
        <f t="shared" si="37"/>
        <v>0.55040816326530606</v>
      </c>
      <c r="BI30" s="3">
        <f t="shared" si="38"/>
        <v>5.272727272727272E-2</v>
      </c>
      <c r="BJ30" s="3">
        <f t="shared" si="39"/>
        <v>9.9428571428571422E-2</v>
      </c>
      <c r="BK30" s="3">
        <f t="shared" si="40"/>
        <v>0.14108108108108108</v>
      </c>
      <c r="BL30" s="3">
        <f t="shared" si="41"/>
        <v>0.17846153846153845</v>
      </c>
      <c r="BM30" s="3">
        <f t="shared" si="42"/>
        <v>0.21219512195121951</v>
      </c>
      <c r="BN30" s="3">
        <f t="shared" si="43"/>
        <v>0.2427906976744186</v>
      </c>
      <c r="BO30" s="3">
        <f t="shared" si="44"/>
        <v>0.27066666666666667</v>
      </c>
      <c r="BP30" s="3">
        <f t="shared" si="45"/>
        <v>0.2961702127659574</v>
      </c>
      <c r="BQ30" s="3">
        <f t="shared" si="46"/>
        <v>0.31959183673469388</v>
      </c>
      <c r="BR30" s="3"/>
      <c r="BT30">
        <v>310</v>
      </c>
      <c r="BU30" s="5">
        <f t="shared" si="47"/>
        <v>310</v>
      </c>
      <c r="BV30" s="3">
        <f t="shared" si="48"/>
        <v>0.4531507258064516</v>
      </c>
      <c r="BW30" s="4">
        <f t="shared" si="59"/>
        <v>280.95344999999998</v>
      </c>
      <c r="BX30" s="4">
        <f t="shared" si="49"/>
        <v>1061.7404999999999</v>
      </c>
      <c r="BY30" s="3">
        <f t="shared" si="60"/>
        <v>0.26461593016372648</v>
      </c>
    </row>
    <row r="31" spans="2:77" x14ac:dyDescent="0.25">
      <c r="B31">
        <v>340</v>
      </c>
      <c r="C31" s="3">
        <f t="shared" si="4"/>
        <v>0.33526470588235291</v>
      </c>
      <c r="D31" s="4">
        <f t="shared" si="50"/>
        <v>113.99</v>
      </c>
      <c r="E31" s="4">
        <f t="shared" si="5"/>
        <v>324.22000000000003</v>
      </c>
      <c r="F31" s="3">
        <f t="shared" si="51"/>
        <v>0.35158225895996542</v>
      </c>
      <c r="H31">
        <f t="shared" si="52"/>
        <v>340</v>
      </c>
      <c r="I31" s="3">
        <f t="shared" si="6"/>
        <v>0.65323529411764714</v>
      </c>
      <c r="J31" s="4">
        <f t="shared" si="53"/>
        <v>222.10000000000002</v>
      </c>
      <c r="K31" s="4">
        <f t="shared" si="7"/>
        <v>709.00900000000001</v>
      </c>
      <c r="L31" s="3">
        <f t="shared" si="54"/>
        <v>0.3132541335864566</v>
      </c>
      <c r="M31" s="3"/>
      <c r="N31">
        <f t="shared" si="55"/>
        <v>340</v>
      </c>
      <c r="O31" s="3">
        <f t="shared" si="8"/>
        <v>0.65323529411764703</v>
      </c>
      <c r="P31" s="4">
        <f t="shared" si="56"/>
        <v>222.1</v>
      </c>
      <c r="Q31" s="4">
        <f t="shared" si="9"/>
        <v>631.03199999999993</v>
      </c>
      <c r="R31" s="3">
        <f t="shared" si="57"/>
        <v>0.35196313340686369</v>
      </c>
      <c r="T31">
        <f t="shared" si="58"/>
        <v>340</v>
      </c>
      <c r="U31" s="3">
        <f t="shared" si="10"/>
        <v>0.34083477774392223</v>
      </c>
      <c r="V31" s="3">
        <f t="shared" si="10"/>
        <v>0.33151835483168823</v>
      </c>
      <c r="W31" s="3">
        <f t="shared" si="10"/>
        <v>0.3231347007025635</v>
      </c>
      <c r="X31" s="3">
        <f t="shared" si="10"/>
        <v>0.31555040923256045</v>
      </c>
      <c r="Y31" s="3">
        <f t="shared" si="10"/>
        <v>0.30865635661606972</v>
      </c>
      <c r="Z31" s="3">
        <f t="shared" si="10"/>
        <v>0.30236241705160971</v>
      </c>
      <c r="AA31" s="3">
        <f t="shared" si="10"/>
        <v>0.29659350083701902</v>
      </c>
      <c r="AB31" s="3">
        <f t="shared" si="10"/>
        <v>0.29128654424136097</v>
      </c>
      <c r="AC31" s="3">
        <f t="shared" si="10"/>
        <v>0.28638819466768983</v>
      </c>
      <c r="AE31" s="4">
        <f t="shared" si="11"/>
        <v>600.59100000000001</v>
      </c>
      <c r="AF31" s="4">
        <f t="shared" si="12"/>
        <v>634.00199999999995</v>
      </c>
      <c r="AG31" s="4">
        <f t="shared" si="13"/>
        <v>667.41300000000001</v>
      </c>
      <c r="AH31" s="4">
        <f t="shared" si="14"/>
        <v>700.82400000000007</v>
      </c>
      <c r="AI31" s="4">
        <f t="shared" si="15"/>
        <v>734.23500000000001</v>
      </c>
      <c r="AJ31" s="4">
        <f t="shared" si="16"/>
        <v>767.64599999999996</v>
      </c>
      <c r="AK31" s="4">
        <f t="shared" si="17"/>
        <v>801.05700000000002</v>
      </c>
      <c r="AL31" s="4">
        <f t="shared" si="18"/>
        <v>834.46799999999996</v>
      </c>
      <c r="AM31" s="4">
        <f t="shared" si="19"/>
        <v>867.87900000000002</v>
      </c>
      <c r="AO31" s="3">
        <f t="shared" si="20"/>
        <v>0.5686175</v>
      </c>
      <c r="AP31" s="3">
        <f t="shared" si="21"/>
        <v>0.55311394736842101</v>
      </c>
      <c r="AQ31" s="3">
        <f t="shared" si="22"/>
        <v>0.53916075000000008</v>
      </c>
      <c r="AR31" s="3">
        <f t="shared" si="23"/>
        <v>0.52653642857142846</v>
      </c>
      <c r="AS31" s="3">
        <f t="shared" si="24"/>
        <v>0.51505977272727266</v>
      </c>
      <c r="AT31" s="3">
        <f t="shared" si="25"/>
        <v>0.50458108695652171</v>
      </c>
      <c r="AU31" s="3">
        <f t="shared" si="26"/>
        <v>0.49497562499999992</v>
      </c>
      <c r="AV31" s="3">
        <f t="shared" si="27"/>
        <v>0.48613859999999992</v>
      </c>
      <c r="AW31" s="3">
        <f t="shared" si="28"/>
        <v>0.47798134615384613</v>
      </c>
      <c r="AY31" s="3">
        <f t="shared" si="29"/>
        <v>0.82166666666666666</v>
      </c>
      <c r="AZ31" s="3">
        <f t="shared" si="30"/>
        <v>0.77842105263157901</v>
      </c>
      <c r="BA31" s="3">
        <f t="shared" si="31"/>
        <v>0.73950000000000005</v>
      </c>
      <c r="BB31" s="3">
        <f t="shared" si="32"/>
        <v>0.70428571428571429</v>
      </c>
      <c r="BC31" s="3">
        <f t="shared" si="33"/>
        <v>0.67227272727272724</v>
      </c>
      <c r="BD31" s="3">
        <f t="shared" si="34"/>
        <v>0.64304347826086961</v>
      </c>
      <c r="BE31" s="3">
        <f t="shared" si="35"/>
        <v>0.61625000000000008</v>
      </c>
      <c r="BF31" s="3">
        <f t="shared" si="36"/>
        <v>0.59160000000000001</v>
      </c>
      <c r="BG31" s="3">
        <f t="shared" si="37"/>
        <v>0.56884615384615389</v>
      </c>
      <c r="BI31" s="3">
        <f t="shared" si="38"/>
        <v>4.8333333333333332E-2</v>
      </c>
      <c r="BJ31" s="3">
        <f t="shared" si="39"/>
        <v>9.1578947368421051E-2</v>
      </c>
      <c r="BK31" s="3">
        <f t="shared" si="40"/>
        <v>0.1305</v>
      </c>
      <c r="BL31" s="3">
        <f t="shared" si="41"/>
        <v>0.1657142857142857</v>
      </c>
      <c r="BM31" s="3">
        <f t="shared" si="42"/>
        <v>0.19772727272727272</v>
      </c>
      <c r="BN31" s="3">
        <f t="shared" si="43"/>
        <v>0.22695652173913045</v>
      </c>
      <c r="BO31" s="3">
        <f t="shared" si="44"/>
        <v>0.25374999999999998</v>
      </c>
      <c r="BP31" s="3">
        <f t="shared" si="45"/>
        <v>0.27839999999999998</v>
      </c>
      <c r="BQ31" s="3">
        <f t="shared" si="46"/>
        <v>0.30115384615384616</v>
      </c>
      <c r="BR31" s="3"/>
      <c r="BT31">
        <v>340</v>
      </c>
      <c r="BU31" s="5">
        <f t="shared" si="47"/>
        <v>340</v>
      </c>
      <c r="BV31" s="3">
        <f t="shared" si="48"/>
        <v>0.42999750000000003</v>
      </c>
      <c r="BW31" s="4">
        <f t="shared" si="59"/>
        <v>292.39830000000001</v>
      </c>
      <c r="BX31" s="4">
        <f t="shared" si="49"/>
        <v>1135.1669999999999</v>
      </c>
      <c r="BY31" s="3">
        <f t="shared" si="60"/>
        <v>0.25758174788379157</v>
      </c>
    </row>
    <row r="32" spans="2:77" x14ac:dyDescent="0.25">
      <c r="B32">
        <v>370</v>
      </c>
      <c r="C32" s="3">
        <f t="shared" si="4"/>
        <v>0.3180945945945946</v>
      </c>
      <c r="D32" s="4">
        <f t="shared" si="50"/>
        <v>117.69500000000001</v>
      </c>
      <c r="E32" s="4">
        <f t="shared" si="5"/>
        <v>331.21000000000004</v>
      </c>
      <c r="F32" s="3">
        <f t="shared" si="51"/>
        <v>0.355348570393406</v>
      </c>
      <c r="H32">
        <f t="shared" si="52"/>
        <v>370</v>
      </c>
      <c r="I32" s="3">
        <f t="shared" si="6"/>
        <v>0.6258108108108108</v>
      </c>
      <c r="J32" s="4">
        <f t="shared" si="53"/>
        <v>231.54999999999998</v>
      </c>
      <c r="K32" s="4">
        <f t="shared" si="7"/>
        <v>743.77449999999999</v>
      </c>
      <c r="L32" s="3">
        <f t="shared" si="54"/>
        <v>0.31131747592852399</v>
      </c>
      <c r="M32" s="3"/>
      <c r="N32">
        <f t="shared" si="55"/>
        <v>370</v>
      </c>
      <c r="O32" s="3">
        <f t="shared" si="8"/>
        <v>0.62581081081081091</v>
      </c>
      <c r="P32" s="4">
        <f t="shared" si="56"/>
        <v>231.55000000000004</v>
      </c>
      <c r="Q32" s="4">
        <f t="shared" si="9"/>
        <v>661.476</v>
      </c>
      <c r="R32" s="3">
        <f t="shared" si="57"/>
        <v>0.35005049313958486</v>
      </c>
      <c r="T32">
        <f t="shared" si="58"/>
        <v>370</v>
      </c>
      <c r="U32" s="3">
        <f t="shared" si="10"/>
        <v>0.33326705679266416</v>
      </c>
      <c r="V32" s="3">
        <f t="shared" si="10"/>
        <v>0.32466568387615014</v>
      </c>
      <c r="W32" s="3">
        <f t="shared" si="10"/>
        <v>0.31689642591892853</v>
      </c>
      <c r="X32" s="3">
        <f t="shared" si="10"/>
        <v>0.30984410343941865</v>
      </c>
      <c r="Y32" s="3">
        <f t="shared" si="10"/>
        <v>0.30341385660257802</v>
      </c>
      <c r="Z32" s="3">
        <f t="shared" si="10"/>
        <v>0.29752685357971875</v>
      </c>
      <c r="AA32" s="3">
        <f t="shared" si="10"/>
        <v>0.29211704253081455</v>
      </c>
      <c r="AB32" s="3">
        <f t="shared" si="10"/>
        <v>0.2871286626609682</v>
      </c>
      <c r="AC32" s="3">
        <f t="shared" si="10"/>
        <v>0.28251431514527225</v>
      </c>
      <c r="AE32" s="4">
        <f t="shared" si="11"/>
        <v>623.90100000000007</v>
      </c>
      <c r="AF32" s="4">
        <f t="shared" si="12"/>
        <v>657.31200000000001</v>
      </c>
      <c r="AG32" s="4">
        <f t="shared" si="13"/>
        <v>690.72299999999996</v>
      </c>
      <c r="AH32" s="4">
        <f t="shared" si="14"/>
        <v>724.13400000000001</v>
      </c>
      <c r="AI32" s="4">
        <f t="shared" si="15"/>
        <v>757.54500000000007</v>
      </c>
      <c r="AJ32" s="4">
        <f t="shared" si="16"/>
        <v>790.95600000000002</v>
      </c>
      <c r="AK32" s="4">
        <f t="shared" si="17"/>
        <v>824.36699999999996</v>
      </c>
      <c r="AL32" s="4">
        <f t="shared" si="18"/>
        <v>857.77800000000002</v>
      </c>
      <c r="AM32" s="4">
        <f t="shared" si="19"/>
        <v>891.18899999999996</v>
      </c>
      <c r="AO32" s="3">
        <f t="shared" si="20"/>
        <v>0.53314269230769229</v>
      </c>
      <c r="AP32" s="3">
        <f t="shared" si="21"/>
        <v>0.5205040243902439</v>
      </c>
      <c r="AQ32" s="3">
        <f t="shared" si="22"/>
        <v>0.50904104651162796</v>
      </c>
      <c r="AR32" s="3">
        <f t="shared" si="23"/>
        <v>0.49859699999999996</v>
      </c>
      <c r="AS32" s="3">
        <f t="shared" si="24"/>
        <v>0.48904180851063828</v>
      </c>
      <c r="AT32" s="3">
        <f t="shared" si="25"/>
        <v>0.48026663265306124</v>
      </c>
      <c r="AU32" s="3">
        <f t="shared" si="26"/>
        <v>0.47217970588235292</v>
      </c>
      <c r="AV32" s="3">
        <f t="shared" si="27"/>
        <v>0.46470311320754715</v>
      </c>
      <c r="AW32" s="3">
        <f t="shared" si="28"/>
        <v>0.45777027272727272</v>
      </c>
      <c r="AY32" s="3">
        <f t="shared" si="29"/>
        <v>0.82538461538461527</v>
      </c>
      <c r="AZ32" s="3">
        <f t="shared" si="30"/>
        <v>0.78512195121951212</v>
      </c>
      <c r="BA32" s="3">
        <f t="shared" si="31"/>
        <v>0.74860465116279062</v>
      </c>
      <c r="BB32" s="3">
        <f t="shared" si="32"/>
        <v>0.71533333333333327</v>
      </c>
      <c r="BC32" s="3">
        <f t="shared" si="33"/>
        <v>0.6848936170212766</v>
      </c>
      <c r="BD32" s="3">
        <f t="shared" si="34"/>
        <v>0.65693877551020408</v>
      </c>
      <c r="BE32" s="3">
        <f t="shared" si="35"/>
        <v>0.63117647058823523</v>
      </c>
      <c r="BF32" s="3">
        <f t="shared" si="36"/>
        <v>0.60735849056603775</v>
      </c>
      <c r="BG32" s="3">
        <f t="shared" si="37"/>
        <v>0.58527272727272728</v>
      </c>
      <c r="BI32" s="3">
        <f t="shared" si="38"/>
        <v>4.4615384615384612E-2</v>
      </c>
      <c r="BJ32" s="3">
        <f t="shared" si="39"/>
        <v>8.4878048780487797E-2</v>
      </c>
      <c r="BK32" s="3">
        <f t="shared" si="40"/>
        <v>0.1213953488372093</v>
      </c>
      <c r="BL32" s="3">
        <f t="shared" si="41"/>
        <v>0.15466666666666665</v>
      </c>
      <c r="BM32" s="3">
        <f t="shared" si="42"/>
        <v>0.18510638297872339</v>
      </c>
      <c r="BN32" s="3">
        <f t="shared" si="43"/>
        <v>0.21306122448979592</v>
      </c>
      <c r="BO32" s="3">
        <f t="shared" si="44"/>
        <v>0.23882352941176471</v>
      </c>
      <c r="BP32" s="3">
        <f t="shared" si="45"/>
        <v>0.26264150943396225</v>
      </c>
      <c r="BQ32" s="3">
        <f t="shared" si="46"/>
        <v>0.28472727272727272</v>
      </c>
      <c r="BT32">
        <v>370</v>
      </c>
      <c r="BU32" s="5">
        <f t="shared" si="47"/>
        <v>370</v>
      </c>
      <c r="BV32" s="3">
        <f t="shared" si="48"/>
        <v>0.41059885135135132</v>
      </c>
      <c r="BW32" s="4">
        <f t="shared" si="59"/>
        <v>303.84314999999998</v>
      </c>
      <c r="BX32" s="4">
        <f t="shared" si="49"/>
        <v>1208.5934999999999</v>
      </c>
      <c r="BY32" s="3">
        <f t="shared" si="60"/>
        <v>0.25140227049045027</v>
      </c>
    </row>
    <row r="33" spans="2:77" x14ac:dyDescent="0.25">
      <c r="B33">
        <v>400</v>
      </c>
      <c r="C33" s="3">
        <f t="shared" si="4"/>
        <v>0.30349999999999999</v>
      </c>
      <c r="D33" s="4">
        <f t="shared" si="50"/>
        <v>121.39999999999999</v>
      </c>
      <c r="E33" s="4">
        <f t="shared" si="5"/>
        <v>338.2</v>
      </c>
      <c r="F33" s="3">
        <f t="shared" si="51"/>
        <v>0.35895919574216439</v>
      </c>
      <c r="H33">
        <f t="shared" si="52"/>
        <v>400</v>
      </c>
      <c r="I33" s="3">
        <f t="shared" si="6"/>
        <v>0.60250000000000004</v>
      </c>
      <c r="J33" s="4">
        <f t="shared" si="53"/>
        <v>241</v>
      </c>
      <c r="K33" s="4">
        <f t="shared" si="7"/>
        <v>778.54</v>
      </c>
      <c r="L33" s="3">
        <f t="shared" si="54"/>
        <v>0.30955378015259333</v>
      </c>
      <c r="M33" s="3"/>
      <c r="N33">
        <f t="shared" si="55"/>
        <v>400</v>
      </c>
      <c r="O33" s="3">
        <f t="shared" si="8"/>
        <v>0.60250000000000004</v>
      </c>
      <c r="P33" s="4">
        <f t="shared" si="56"/>
        <v>241</v>
      </c>
      <c r="Q33" s="4">
        <f t="shared" si="9"/>
        <v>691.92</v>
      </c>
      <c r="R33" s="3">
        <f t="shared" si="57"/>
        <v>0.34830616256214592</v>
      </c>
      <c r="T33">
        <f t="shared" si="58"/>
        <v>400</v>
      </c>
      <c r="U33" s="3">
        <f t="shared" si="10"/>
        <v>0.32624445505407046</v>
      </c>
      <c r="V33" s="3">
        <f t="shared" si="10"/>
        <v>0.31828239463314434</v>
      </c>
      <c r="W33" s="3">
        <f t="shared" si="10"/>
        <v>0.31106545495796412</v>
      </c>
      <c r="X33" s="3">
        <f t="shared" si="10"/>
        <v>0.3044937145792862</v>
      </c>
      <c r="Y33" s="3">
        <f t="shared" si="10"/>
        <v>0.29848435368922521</v>
      </c>
      <c r="Z33" s="3">
        <f t="shared" si="10"/>
        <v>0.29296814554457634</v>
      </c>
      <c r="AA33" s="3">
        <f t="shared" si="10"/>
        <v>0.28788677762874298</v>
      </c>
      <c r="AB33" s="3">
        <f t="shared" si="10"/>
        <v>0.2831907823055132</v>
      </c>
      <c r="AC33" s="3">
        <f t="shared" si="10"/>
        <v>0.27883792109122041</v>
      </c>
      <c r="AE33" s="4">
        <f t="shared" si="11"/>
        <v>647.21100000000001</v>
      </c>
      <c r="AF33" s="4">
        <f t="shared" si="12"/>
        <v>680.62200000000007</v>
      </c>
      <c r="AG33" s="4">
        <f t="shared" si="13"/>
        <v>714.03300000000002</v>
      </c>
      <c r="AH33" s="4">
        <f t="shared" si="14"/>
        <v>747.44399999999996</v>
      </c>
      <c r="AI33" s="4">
        <f t="shared" si="15"/>
        <v>780.85500000000002</v>
      </c>
      <c r="AJ33" s="4">
        <f t="shared" si="16"/>
        <v>814.26600000000008</v>
      </c>
      <c r="AK33" s="4">
        <f t="shared" si="17"/>
        <v>847.67700000000002</v>
      </c>
      <c r="AL33" s="4">
        <f t="shared" si="18"/>
        <v>881.08799999999997</v>
      </c>
      <c r="AM33" s="4">
        <f t="shared" si="19"/>
        <v>914.49900000000002</v>
      </c>
      <c r="AO33" s="3">
        <f t="shared" si="20"/>
        <v>0.50273571428571429</v>
      </c>
      <c r="AP33" s="3">
        <f t="shared" si="21"/>
        <v>0.49234090909090905</v>
      </c>
      <c r="AQ33" s="3">
        <f t="shared" si="22"/>
        <v>0.48285</v>
      </c>
      <c r="AR33" s="3">
        <f t="shared" si="23"/>
        <v>0.47414999999999996</v>
      </c>
      <c r="AS33" s="3">
        <f t="shared" si="24"/>
        <v>0.46614599999999995</v>
      </c>
      <c r="AT33" s="3">
        <f t="shared" si="25"/>
        <v>0.45875769230769231</v>
      </c>
      <c r="AU33" s="3">
        <f t="shared" si="26"/>
        <v>0.45191666666666663</v>
      </c>
      <c r="AV33" s="3">
        <f t="shared" si="27"/>
        <v>0.44556428571428569</v>
      </c>
      <c r="AW33" s="3">
        <f t="shared" si="28"/>
        <v>0.43964999999999999</v>
      </c>
      <c r="AY33" s="3">
        <f t="shared" si="29"/>
        <v>0.82857142857142863</v>
      </c>
      <c r="AZ33" s="3">
        <f t="shared" si="30"/>
        <v>0.79090909090909089</v>
      </c>
      <c r="BA33" s="3">
        <f t="shared" si="31"/>
        <v>0.75652173913043474</v>
      </c>
      <c r="BB33" s="3">
        <f t="shared" si="32"/>
        <v>0.72499999999999998</v>
      </c>
      <c r="BC33" s="3">
        <f t="shared" si="33"/>
        <v>0.69599999999999995</v>
      </c>
      <c r="BD33" s="3">
        <f t="shared" si="34"/>
        <v>0.66923076923076918</v>
      </c>
      <c r="BE33" s="3">
        <f t="shared" si="35"/>
        <v>0.64444444444444449</v>
      </c>
      <c r="BF33" s="3">
        <f t="shared" si="36"/>
        <v>0.62142857142857144</v>
      </c>
      <c r="BG33" s="3">
        <f t="shared" si="37"/>
        <v>0.6</v>
      </c>
      <c r="BI33" s="3">
        <f t="shared" si="38"/>
        <v>4.1428571428571426E-2</v>
      </c>
      <c r="BJ33" s="3">
        <f t="shared" si="39"/>
        <v>7.9090909090909087E-2</v>
      </c>
      <c r="BK33" s="3">
        <f t="shared" si="40"/>
        <v>0.11347826086956522</v>
      </c>
      <c r="BL33" s="3">
        <f t="shared" si="41"/>
        <v>0.14499999999999999</v>
      </c>
      <c r="BM33" s="3">
        <f t="shared" si="42"/>
        <v>0.17399999999999999</v>
      </c>
      <c r="BN33" s="3">
        <f t="shared" si="43"/>
        <v>0.20076923076923078</v>
      </c>
      <c r="BO33" s="3">
        <f t="shared" si="44"/>
        <v>0.22555555555555554</v>
      </c>
      <c r="BP33" s="3">
        <f t="shared" si="45"/>
        <v>0.24857142857142855</v>
      </c>
      <c r="BQ33" s="3">
        <f t="shared" si="46"/>
        <v>0.27</v>
      </c>
      <c r="BT33">
        <v>400</v>
      </c>
      <c r="BU33" s="5">
        <f t="shared" si="47"/>
        <v>400</v>
      </c>
      <c r="BV33" s="3">
        <f t="shared" si="48"/>
        <v>0.39411000000000002</v>
      </c>
      <c r="BW33" s="4">
        <f t="shared" si="59"/>
        <v>315.28800000000001</v>
      </c>
      <c r="BX33" s="4">
        <f t="shared" si="49"/>
        <v>1282.02</v>
      </c>
      <c r="BY33" s="3">
        <f t="shared" si="60"/>
        <v>0.24593064070763329</v>
      </c>
    </row>
    <row r="35" spans="2:77" x14ac:dyDescent="0.25">
      <c r="L35" t="s">
        <v>161</v>
      </c>
      <c r="AI35" s="2"/>
    </row>
    <row r="36" spans="2:77" x14ac:dyDescent="0.25">
      <c r="L36" t="str">
        <f>B3&amp;":"&amp;C3&amp;"; "&amp;B4&amp;":"&amp;C4&amp;"; "&amp;B12&amp;":"&amp;C12&amp;"; "&amp;B13&amp;":"&amp;C13</f>
        <v>Built in:N; Auto Defrost:N; Climate class:N; Chill:N</v>
      </c>
    </row>
  </sheetData>
  <pageMargins left="0.31496062992125984" right="0.31496062992125984" top="0.35433070866141736" bottom="0.35433070866141736"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workbookViewId="0">
      <selection activeCell="D19" sqref="D19"/>
    </sheetView>
  </sheetViews>
  <sheetFormatPr defaultRowHeight="15" x14ac:dyDescent="0.25"/>
  <cols>
    <col min="6" max="6" width="12.7109375" bestFit="1" customWidth="1"/>
    <col min="9" max="9" width="12.7109375" bestFit="1" customWidth="1"/>
    <col min="10" max="10" width="12" bestFit="1" customWidth="1"/>
  </cols>
  <sheetData>
    <row r="3" spans="1:10" x14ac:dyDescent="0.25">
      <c r="E3" t="s">
        <v>60</v>
      </c>
      <c r="F3" t="s">
        <v>61</v>
      </c>
    </row>
    <row r="4" spans="1:10" x14ac:dyDescent="0.25">
      <c r="D4" t="s">
        <v>59</v>
      </c>
      <c r="E4">
        <v>6.6528239999999998</v>
      </c>
      <c r="F4">
        <v>4.1179069999999998</v>
      </c>
    </row>
    <row r="5" spans="1:10" x14ac:dyDescent="0.25">
      <c r="D5" t="s">
        <v>49</v>
      </c>
      <c r="E5">
        <v>0.19276599999999999</v>
      </c>
      <c r="F5">
        <v>0.152086</v>
      </c>
    </row>
    <row r="6" spans="1:10" x14ac:dyDescent="0.25">
      <c r="D6" t="s">
        <v>50</v>
      </c>
      <c r="E6">
        <v>-0.19425000000000001</v>
      </c>
      <c r="F6">
        <v>-2.8372000000000001E-2</v>
      </c>
    </row>
    <row r="7" spans="1:10" x14ac:dyDescent="0.25">
      <c r="D7" t="s">
        <v>51</v>
      </c>
      <c r="E7">
        <v>2.4459999999999998E-3</v>
      </c>
      <c r="F7">
        <v>2.0609999999999999E-3</v>
      </c>
    </row>
    <row r="8" spans="1:10" x14ac:dyDescent="0.25">
      <c r="D8" t="s">
        <v>52</v>
      </c>
      <c r="E8">
        <v>-4.5999999999999999E-3</v>
      </c>
      <c r="F8">
        <v>-8.6600000000000002E-4</v>
      </c>
    </row>
    <row r="9" spans="1:10" x14ac:dyDescent="0.25">
      <c r="D9" t="s">
        <v>53</v>
      </c>
      <c r="E9">
        <v>2.4580000000000001E-3</v>
      </c>
      <c r="F9">
        <f>0.06/46/46</f>
        <v>2.8355387523629487E-5</v>
      </c>
      <c r="I9">
        <f>0.06/46/46</f>
        <v>2.8355387523629487E-5</v>
      </c>
    </row>
    <row r="10" spans="1:10" x14ac:dyDescent="0.25">
      <c r="D10" t="s">
        <v>54</v>
      </c>
      <c r="E10">
        <v>1.2999999999999999E-5</v>
      </c>
      <c r="F10">
        <f>-0.07/(-19)^3</f>
        <v>1.0205569324974486E-5</v>
      </c>
      <c r="I10">
        <f>-0.07/(-19)^3</f>
        <v>1.0205569324974486E-5</v>
      </c>
    </row>
    <row r="11" spans="1:10" x14ac:dyDescent="0.25">
      <c r="D11" t="s">
        <v>55</v>
      </c>
      <c r="E11">
        <v>-3.3000000000000003E-5</v>
      </c>
      <c r="F11">
        <f>-0.15/(46*(-19)^2)</f>
        <v>-9.0328796820426356E-6</v>
      </c>
      <c r="I11">
        <f>-0.15/(46*(-19)^2)</f>
        <v>-9.0328796820426356E-6</v>
      </c>
    </row>
    <row r="12" spans="1:10" x14ac:dyDescent="0.25">
      <c r="D12" t="s">
        <v>56</v>
      </c>
      <c r="E12">
        <f>-1.26/(-19*46*46)</f>
        <v>3.1340165157695749E-5</v>
      </c>
      <c r="F12">
        <f>-0.04/(-19*46*46)</f>
        <v>9.9492587802208729E-7</v>
      </c>
      <c r="I12">
        <f>0.04/(-19*46*46)</f>
        <v>-9.9492587802208729E-7</v>
      </c>
      <c r="J12">
        <f>-1.26/(-19*46*46)</f>
        <v>3.1340165157695749E-5</v>
      </c>
    </row>
    <row r="13" spans="1:10" x14ac:dyDescent="0.25">
      <c r="D13" t="s">
        <v>57</v>
      </c>
      <c r="E13">
        <f>-1.14/(46^3)</f>
        <v>-1.1712007890194788E-5</v>
      </c>
      <c r="F13">
        <f>-0.01/(46^3)</f>
        <v>-1.0273691131749815E-7</v>
      </c>
      <c r="G13" s="5">
        <f>Pc_c10*Tc^3</f>
        <v>-0.01</v>
      </c>
      <c r="J13">
        <f>-1.14/(46^3)</f>
        <v>-1.1712007890194788E-5</v>
      </c>
    </row>
    <row r="15" spans="1:10" x14ac:dyDescent="0.25">
      <c r="A15" t="s">
        <v>58</v>
      </c>
      <c r="B15" s="6" t="s">
        <v>62</v>
      </c>
      <c r="C15">
        <v>-19</v>
      </c>
    </row>
    <row r="16" spans="1:10" x14ac:dyDescent="0.25">
      <c r="B16" s="6" t="s">
        <v>21</v>
      </c>
      <c r="C16">
        <v>46</v>
      </c>
    </row>
    <row r="17" spans="2:5" x14ac:dyDescent="0.25">
      <c r="B17" s="6"/>
    </row>
    <row r="18" spans="2:5" x14ac:dyDescent="0.25">
      <c r="B18" s="6" t="s">
        <v>61</v>
      </c>
      <c r="C18" s="5">
        <f>Pc_c1+Pc_c2*Te+Pc_c3*Tc+Pc_c4*Te^2+Pc_c5*Te*Tc+Pc_c6*Tc^2+Pc_c7*Te^3+Pc_c8*Tc*Te^2+Pc_c9*Te*Tc^2+Pc_c10*Tc^3</f>
        <v>1.2140659999999996</v>
      </c>
    </row>
    <row r="19" spans="2:5" x14ac:dyDescent="0.25">
      <c r="B19" s="6" t="s">
        <v>63</v>
      </c>
      <c r="C19" s="5">
        <f>COP_c1+COP_c2*Te+COP_c3*Tc+COP_c4*Te^2+COP_c5*Te*Tc+COP_c6*Tc^2+COP_c7*Te^3+COP_c8*Tc*Te^2+COP_c9*Te*Tc^2+COP_c10*Tc^3</f>
        <v>1.1221390000000004</v>
      </c>
    </row>
    <row r="20" spans="2:5" x14ac:dyDescent="0.25">
      <c r="B20" s="6"/>
    </row>
    <row r="21" spans="2:5" x14ac:dyDescent="0.25">
      <c r="B21" s="6" t="s">
        <v>65</v>
      </c>
      <c r="C21">
        <f>(Te+273.15)/((Tc-Te))</f>
        <v>3.9099999999999997</v>
      </c>
      <c r="E21">
        <f>0.6*C21</f>
        <v>2.3459999999999996</v>
      </c>
    </row>
    <row r="22" spans="2:5" x14ac:dyDescent="0.25">
      <c r="B22" s="6"/>
      <c r="C22">
        <f>(-23.3+273.15)/((54.4--23.3))</f>
        <v>3.2155727155727152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71FE01E710DD478361395E5A09A426" ma:contentTypeVersion="1" ma:contentTypeDescription="Create a new document." ma:contentTypeScope="" ma:versionID="366138cb86073b606f2e65b7b338e8fa">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3CC9AD-B90B-452E-80AC-6689B70E428D}"/>
</file>

<file path=customXml/itemProps2.xml><?xml version="1.0" encoding="utf-8"?>
<ds:datastoreItem xmlns:ds="http://schemas.openxmlformats.org/officeDocument/2006/customXml" ds:itemID="{87ECADB1-5F0E-4082-84D9-1F49BE4EF7FA}"/>
</file>

<file path=customXml/itemProps3.xml><?xml version="1.0" encoding="utf-8"?>
<ds:datastoreItem xmlns:ds="http://schemas.openxmlformats.org/officeDocument/2006/customXml" ds:itemID="{8DAD946C-C8D9-487F-B712-65A57EBDAF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49</vt:i4>
      </vt:variant>
    </vt:vector>
  </HeadingPairs>
  <TitlesOfParts>
    <vt:vector size="52" baseType="lpstr">
      <vt:lpstr>Model</vt:lpstr>
      <vt:lpstr>qRef-evaluation</vt:lpstr>
      <vt:lpstr>Compressor</vt:lpstr>
      <vt:lpstr>Ac_FF</vt:lpstr>
      <vt:lpstr>Ac_FR</vt:lpstr>
      <vt:lpstr>bAutoDef</vt:lpstr>
      <vt:lpstr>bBuiltIn</vt:lpstr>
      <vt:lpstr>Bc_Actual</vt:lpstr>
      <vt:lpstr>Bc_FF</vt:lpstr>
      <vt:lpstr>BC_FR</vt:lpstr>
      <vt:lpstr>CC</vt:lpstr>
      <vt:lpstr>Cc_Constant</vt:lpstr>
      <vt:lpstr>Cc_Mult_rc</vt:lpstr>
      <vt:lpstr>Ch</vt:lpstr>
      <vt:lpstr>COP_c1</vt:lpstr>
      <vt:lpstr>COP_c10</vt:lpstr>
      <vt:lpstr>COP_c2</vt:lpstr>
      <vt:lpstr>COP_c3</vt:lpstr>
      <vt:lpstr>COP_c4</vt:lpstr>
      <vt:lpstr>COP_c5</vt:lpstr>
      <vt:lpstr>COP_c6</vt:lpstr>
      <vt:lpstr>COP_c7</vt:lpstr>
      <vt:lpstr>COP_c8</vt:lpstr>
      <vt:lpstr>COP_c9</vt:lpstr>
      <vt:lpstr>Door</vt:lpstr>
      <vt:lpstr>FF_Actual</vt:lpstr>
      <vt:lpstr>Mc_FF</vt:lpstr>
      <vt:lpstr>Mc_FR</vt:lpstr>
      <vt:lpstr>MFresh</vt:lpstr>
      <vt:lpstr>MFrozen</vt:lpstr>
      <vt:lpstr>Nc_FF</vt:lpstr>
      <vt:lpstr>Nc_FR</vt:lpstr>
      <vt:lpstr>NFresh</vt:lpstr>
      <vt:lpstr>NFrozen</vt:lpstr>
      <vt:lpstr>Pc_c1</vt:lpstr>
      <vt:lpstr>Pc_c10</vt:lpstr>
      <vt:lpstr>Pc_c2</vt:lpstr>
      <vt:lpstr>Pc_c3</vt:lpstr>
      <vt:lpstr>Pc_c4</vt:lpstr>
      <vt:lpstr>Pc_c5</vt:lpstr>
      <vt:lpstr>Pc_c6</vt:lpstr>
      <vt:lpstr>Pc_c7</vt:lpstr>
      <vt:lpstr>Pc_c8</vt:lpstr>
      <vt:lpstr>Pc_c9</vt:lpstr>
      <vt:lpstr>rc_FF</vt:lpstr>
      <vt:lpstr>rc_FR</vt:lpstr>
      <vt:lpstr>req</vt:lpstr>
      <vt:lpstr>rtWall</vt:lpstr>
      <vt:lpstr>rVFresh</vt:lpstr>
      <vt:lpstr>Tc</vt:lpstr>
      <vt:lpstr>Te</vt:lpstr>
      <vt:lpstr>TotVol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Martien</dc:creator>
  <cp:lastModifiedBy>Martien</cp:lastModifiedBy>
  <dcterms:created xsi:type="dcterms:W3CDTF">2015-11-28T16:41:50Z</dcterms:created>
  <dcterms:modified xsi:type="dcterms:W3CDTF">2015-12-08T12:27:32Z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0x010100F171FE01E710DD478361395E5A09A426</vt:lpwstr>
  </property>
</Properties>
</file>